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844" activeTab="6"/>
  </bookViews>
  <sheets>
    <sheet name="BS_2" sheetId="1" r:id="rId1"/>
    <sheet name="PL_2" sheetId="2" r:id="rId2"/>
    <sheet name="LIA NOTES_2" sheetId="3" r:id="rId3"/>
    <sheet name="ASSETS NOTES_2" sheetId="4" r:id="rId4"/>
    <sheet name="F ASSETS" sheetId="5" r:id="rId5"/>
    <sheet name="Liabilities" sheetId="6" r:id="rId6"/>
    <sheet name="PL NOTES_2" sheetId="7" r:id="rId7"/>
    <sheet name="Sheet1" sheetId="8" state="hidden" r:id="rId8"/>
    <sheet name="Assets" sheetId="9" r:id="rId9"/>
    <sheet name="Sheet2" sheetId="10" r:id="rId10"/>
  </sheets>
  <externalReferences>
    <externalReference r:id="rId13"/>
  </externalReferences>
  <definedNames>
    <definedName name="_xlnm.Print_Area" localSheetId="8">'Assets'!$B$1:$H$386</definedName>
    <definedName name="_xlnm.Print_Area" localSheetId="3">'ASSETS NOTES_2'!$B$56:$E$113</definedName>
    <definedName name="_xlnm.Print_Area" localSheetId="0">'BS_2'!$A$1:$E$67</definedName>
    <definedName name="_xlnm.Print_Area" localSheetId="4">'F ASSETS'!$B$1:$M$34</definedName>
    <definedName name="_xlnm.Print_Area" localSheetId="2">'LIA NOTES_2'!$A$136:$E$158</definedName>
    <definedName name="_xlnm.Print_Area" localSheetId="5">'Liabilities'!$B$1:$I$640</definedName>
    <definedName name="_xlnm.Print_Area" localSheetId="6">'PL NOTES_2'!$B$2:$D$46</definedName>
    <definedName name="_xlnm.Print_Area" localSheetId="1">'PL_2'!$B$1:$E$54</definedName>
  </definedNames>
  <calcPr fullCalcOnLoad="1"/>
</workbook>
</file>

<file path=xl/sharedStrings.xml><?xml version="1.0" encoding="utf-8"?>
<sst xmlns="http://schemas.openxmlformats.org/spreadsheetml/2006/main" count="2117" uniqueCount="1709">
  <si>
    <t>PARTICULARS</t>
  </si>
  <si>
    <t>Note No</t>
  </si>
  <si>
    <t xml:space="preserve">Share capital </t>
  </si>
  <si>
    <t xml:space="preserve">Reserves and surplus </t>
  </si>
  <si>
    <t>Long Term Borrowings</t>
  </si>
  <si>
    <t>Short Term Borrowings</t>
  </si>
  <si>
    <t xml:space="preserve">Trade payables </t>
  </si>
  <si>
    <t xml:space="preserve">Other current liabilities </t>
  </si>
  <si>
    <t xml:space="preserve">Short-term provisions </t>
  </si>
  <si>
    <t>ASSETS</t>
  </si>
  <si>
    <t xml:space="preserve">Fixed assets </t>
  </si>
  <si>
    <t>Trade  receivables</t>
  </si>
  <si>
    <t>Cash and cash equivalents</t>
  </si>
  <si>
    <t>Short-term loans  and  advances</t>
  </si>
  <si>
    <t xml:space="preserve">Other current assets </t>
  </si>
  <si>
    <t>Partner</t>
  </si>
  <si>
    <t>REVENUE</t>
  </si>
  <si>
    <t>Revenue from operations</t>
  </si>
  <si>
    <t>Other income</t>
  </si>
  <si>
    <t>Total Revenue</t>
  </si>
  <si>
    <t>EXPENSES</t>
  </si>
  <si>
    <t>Cost of materials consumed</t>
  </si>
  <si>
    <t>Employee benefits expense</t>
  </si>
  <si>
    <t>Finance costs</t>
  </si>
  <si>
    <t>Other expenses</t>
  </si>
  <si>
    <t>Total Expenses</t>
  </si>
  <si>
    <t>Total</t>
  </si>
  <si>
    <t xml:space="preserve">     Provision for Income Tax </t>
  </si>
  <si>
    <t xml:space="preserve">Advances recoverable in cash or in kind, or for value to be received </t>
  </si>
  <si>
    <t xml:space="preserve">   Less:  Closing Stock </t>
  </si>
  <si>
    <t xml:space="preserve">Rates and taxes, excluding, taxes on income. </t>
  </si>
  <si>
    <t>Miscellaneous expenses</t>
  </si>
  <si>
    <t>Outstanding amount</t>
  </si>
  <si>
    <t xml:space="preserve">No of instalment </t>
  </si>
  <si>
    <t>Interest %</t>
  </si>
  <si>
    <t>Periodicity</t>
  </si>
  <si>
    <t>Sale of products :</t>
  </si>
  <si>
    <t>Consumption of stores and spare parts</t>
  </si>
  <si>
    <t>Legal and Professional charges</t>
  </si>
  <si>
    <t>Filing Fees</t>
  </si>
  <si>
    <t>Notes forming part of Financial Statements</t>
  </si>
  <si>
    <t xml:space="preserve"> Inventories </t>
  </si>
  <si>
    <t xml:space="preserve">Long-term loans and advances </t>
  </si>
  <si>
    <t>Due to Micro, Small &amp; Medium Enterprises</t>
  </si>
  <si>
    <t xml:space="preserve">Raw materials </t>
  </si>
  <si>
    <t>Waste</t>
  </si>
  <si>
    <t>Others</t>
  </si>
  <si>
    <t xml:space="preserve">   In Current Account</t>
  </si>
  <si>
    <t>Cash on hand</t>
  </si>
  <si>
    <t>Notes forming part of Financial Statements (Cont'd)</t>
  </si>
  <si>
    <t>GROSS BLOCK</t>
  </si>
  <si>
    <t>DEPRECIATION</t>
  </si>
  <si>
    <t>NET BLOCK</t>
  </si>
  <si>
    <t>Particulars</t>
  </si>
  <si>
    <t>Previous Year</t>
  </si>
  <si>
    <t>MAT Credit Entitlement</t>
  </si>
  <si>
    <t>As per last Balance Sheet</t>
  </si>
  <si>
    <t xml:space="preserve">  Yarn </t>
  </si>
  <si>
    <t xml:space="preserve">  Waste</t>
  </si>
  <si>
    <t>Opening Stock</t>
  </si>
  <si>
    <t xml:space="preserve">   Finished Goods - Yarn</t>
  </si>
  <si>
    <t xml:space="preserve">   Waste</t>
  </si>
  <si>
    <t>Closing Stock</t>
  </si>
  <si>
    <t>Salaries and wages</t>
  </si>
  <si>
    <t>Contribution to provident and other funds</t>
  </si>
  <si>
    <t>Interest expenses</t>
  </si>
  <si>
    <t xml:space="preserve">  On others</t>
  </si>
  <si>
    <t xml:space="preserve"> </t>
  </si>
  <si>
    <t>( &lt;------ In Rupees------&gt;)</t>
  </si>
  <si>
    <t>(&lt;--------- In Rupees---------&gt;)</t>
  </si>
  <si>
    <t>Less: Adjustment on assets converted into Stock-in-
          Trade during the year</t>
  </si>
  <si>
    <t>Revaluation Reserve (Land)</t>
  </si>
  <si>
    <t>Revaluation Reserve (Buildings and Machinery)</t>
  </si>
  <si>
    <t>SRI RAMAKRISHNA MILLS (COIMBATORE) LTD</t>
  </si>
  <si>
    <t>Kotak Mahindra Prime Ltd:</t>
  </si>
  <si>
    <t>Hire Purchase Loan</t>
  </si>
  <si>
    <t>Cash Credit Account</t>
  </si>
  <si>
    <t>Fixed Deposits</t>
  </si>
  <si>
    <t>Trade Deposits</t>
  </si>
  <si>
    <t>Provision for Gratuity :</t>
  </si>
  <si>
    <t>Land  :   (Cost)</t>
  </si>
  <si>
    <t xml:space="preserve">                (Revalued)</t>
  </si>
  <si>
    <t>Buildings :  (Cost)</t>
  </si>
  <si>
    <t xml:space="preserve">                       (Revalued)</t>
  </si>
  <si>
    <t>Plant &amp; Machinery (Cost)</t>
  </si>
  <si>
    <t>UN-QUOTED</t>
  </si>
  <si>
    <t xml:space="preserve">2000 Equity Shares of Rs.10/-each fully paid up in </t>
  </si>
  <si>
    <t xml:space="preserve">   Sentra Yarns Ltd</t>
  </si>
  <si>
    <t>7 Years National Savings Certificate</t>
  </si>
  <si>
    <t>6 Years National Savings Certificate</t>
  </si>
  <si>
    <t>Indira Vikas Patra</t>
  </si>
  <si>
    <t>Investment in the Capital of Partnership Firm</t>
  </si>
  <si>
    <t>Finished Goods</t>
  </si>
  <si>
    <t>Stock of Stores</t>
  </si>
  <si>
    <t>Stock-in-Trade-Land</t>
  </si>
  <si>
    <t>Stamps on hand</t>
  </si>
  <si>
    <t>Pre-paid expenses</t>
  </si>
  <si>
    <t>Interest Receipts</t>
  </si>
  <si>
    <t>Miscellaneous Income</t>
  </si>
  <si>
    <t>Lease Rent</t>
  </si>
  <si>
    <t>Share of profit/(Loss) from Partnership Firm</t>
  </si>
  <si>
    <t>Surplus on conversion of Land into Stock-in-Trade</t>
  </si>
  <si>
    <t xml:space="preserve">  On Fixed Loans</t>
  </si>
  <si>
    <t>Insurance</t>
  </si>
  <si>
    <t>Donations</t>
  </si>
  <si>
    <t xml:space="preserve">Particulars
</t>
  </si>
  <si>
    <t>Monthly</t>
  </si>
  <si>
    <t>The South Indian Bank Ltd:</t>
  </si>
  <si>
    <t>Working Capital Term Loan</t>
  </si>
  <si>
    <t>Computer</t>
  </si>
  <si>
    <t>Office Equipment</t>
  </si>
  <si>
    <t>Furniture</t>
  </si>
  <si>
    <t>NON-CURRENT ASSETS:</t>
  </si>
  <si>
    <t>CURRENT ASSETS:</t>
  </si>
  <si>
    <t>TOTAL (A)</t>
  </si>
  <si>
    <t xml:space="preserve">Non-Current Investments </t>
  </si>
  <si>
    <t>Deferred Tax Assets</t>
  </si>
  <si>
    <t>EQUITY  AND LIABILITIES:</t>
  </si>
  <si>
    <t>Shareholders’ funds :</t>
  </si>
  <si>
    <t>Non-current liabilities :</t>
  </si>
  <si>
    <t>Current liabilities :</t>
  </si>
  <si>
    <t>Non-current assets :</t>
  </si>
  <si>
    <t>Current assets :</t>
  </si>
  <si>
    <t>Non-Current Liabilities:</t>
  </si>
  <si>
    <t>(&lt;-------- In Rupees -------&gt;)</t>
  </si>
  <si>
    <t>Managing Director</t>
  </si>
  <si>
    <t>Company Secretary</t>
  </si>
  <si>
    <t>Chartered Accountant</t>
  </si>
  <si>
    <t>Coimbatore</t>
  </si>
  <si>
    <t xml:space="preserve">Power and fuel </t>
  </si>
  <si>
    <t>Securities Premium Account</t>
  </si>
  <si>
    <t>Less : Depreciation on Revaluation Surplus of Building,</t>
  </si>
  <si>
    <t xml:space="preserve">           Plant &amp; Machinery transferred from Profit &amp; Loss A/c</t>
  </si>
  <si>
    <t>Details of Security :</t>
  </si>
  <si>
    <t>Sales/
Withdrawals
during the
year</t>
  </si>
  <si>
    <t>Additions
during the
year</t>
  </si>
  <si>
    <t>Provided
during the
year</t>
  </si>
  <si>
    <t>Withdrawn
during the
year</t>
  </si>
  <si>
    <t>Motor Vehicles</t>
  </si>
  <si>
    <t>Advance for purchase of capital assets</t>
  </si>
  <si>
    <t>Unsecured, considered good :</t>
  </si>
  <si>
    <t>Balance with Excise Department, Sales Tax, etc.</t>
  </si>
  <si>
    <t>Interest accrued on Deposits</t>
  </si>
  <si>
    <t xml:space="preserve">   Opening Stock</t>
  </si>
  <si>
    <t>Sub-Total (1)</t>
  </si>
  <si>
    <t>Sub-Total (2)</t>
  </si>
  <si>
    <t>Staff Welfare expenses</t>
  </si>
  <si>
    <t>Repairs &amp; Maintenance of :</t>
  </si>
  <si>
    <t xml:space="preserve">     i)    Buildings</t>
  </si>
  <si>
    <t xml:space="preserve">    iii)  Other Assets</t>
  </si>
  <si>
    <t xml:space="preserve">     ii)   Machinery</t>
  </si>
  <si>
    <t>Printing &amp; Stationery</t>
  </si>
  <si>
    <t>postage, Telegram &amp; Telephones</t>
  </si>
  <si>
    <t>Advertisement,Subscription and Periodicals</t>
  </si>
  <si>
    <t>Travelling and maintenance of vehicles</t>
  </si>
  <si>
    <t>Rent</t>
  </si>
  <si>
    <t>Brokerage on yarn sales</t>
  </si>
  <si>
    <t>Yarn Sales Expenses other than brokerage</t>
  </si>
  <si>
    <t>Internal Auditor</t>
  </si>
  <si>
    <t>M.NO.200464</t>
  </si>
  <si>
    <t xml:space="preserve">          Firm Regd.No.001209S</t>
  </si>
  <si>
    <t>For M.S.JAGANNATHAN &amp; VISVANATHAN</t>
  </si>
  <si>
    <t>(a)  Authorised:</t>
  </si>
  <si>
    <t>(b)  Issued:</t>
  </si>
  <si>
    <t xml:space="preserve">  i)   Equity Shares of Rs.10 each</t>
  </si>
  <si>
    <t>(c)  Subscribed and Fully Paid Up:</t>
  </si>
  <si>
    <t>No.of shares
held</t>
  </si>
  <si>
    <t>% of 
holding</t>
  </si>
  <si>
    <t>Sri.D. Lakshminarayanaswamy</t>
  </si>
  <si>
    <t>Smt.L. Nagaswarna</t>
  </si>
  <si>
    <t>Smt.L. Suhasini</t>
  </si>
  <si>
    <t>Smt.L. Swathy</t>
  </si>
  <si>
    <t>Stressed Assets Stabilisation Fund</t>
  </si>
  <si>
    <t>NOTE:</t>
  </si>
  <si>
    <t>Changes in inventories of finished goods, work in progress</t>
  </si>
  <si>
    <t xml:space="preserve">             Chartered Accountants,</t>
  </si>
  <si>
    <t xml:space="preserve">   - Managerial personnel</t>
  </si>
  <si>
    <t xml:space="preserve">   - Others</t>
  </si>
  <si>
    <t>No.of 
shares</t>
  </si>
  <si>
    <t>Amount
Rs.</t>
  </si>
  <si>
    <t>No.of shares</t>
  </si>
  <si>
    <t>Shares at the beginning of the year</t>
  </si>
  <si>
    <t>Shares issued during the year</t>
  </si>
  <si>
    <t>Shares outstanding at the end of the year</t>
  </si>
  <si>
    <t>Details of shares held by each shareholder holding more than 5% of the Share Capital:</t>
  </si>
  <si>
    <t>Reconciliation of the Equity Shares outstanding at 
the beginning and at the end of the reporting year:</t>
  </si>
  <si>
    <t xml:space="preserve"> Equity Shares of Rs.10 each</t>
  </si>
  <si>
    <t>Sri.R. Doraiswami &amp; Sri.D.Lakshminarayanaswamy</t>
  </si>
  <si>
    <t>Library</t>
  </si>
  <si>
    <t xml:space="preserve">   Add : Purchases </t>
  </si>
  <si>
    <t>Consumption of Packing Materials</t>
  </si>
  <si>
    <t>Processing Charges</t>
  </si>
  <si>
    <t>Surplus</t>
  </si>
  <si>
    <t>From Banks</t>
  </si>
  <si>
    <t>From Others</t>
  </si>
  <si>
    <t>Secured</t>
  </si>
  <si>
    <t>Unsecured</t>
  </si>
  <si>
    <t>Provision for Leave Encashment</t>
  </si>
  <si>
    <t>Interest accrued and due on borrowings</t>
  </si>
  <si>
    <t>Interest Accrued but not due on Borrowings</t>
  </si>
  <si>
    <t>Investments in Equity Instruments</t>
  </si>
  <si>
    <t>Name of the partner</t>
  </si>
  <si>
    <t>Sri Ramakrishna Mills (CBE) Limited</t>
  </si>
  <si>
    <t>Sri.D.Lakshminarayanaswamy</t>
  </si>
  <si>
    <t>Investments in Government Securities</t>
  </si>
  <si>
    <t>Unsecured, considered Good:</t>
  </si>
  <si>
    <t>NON - TRADE INVESTMENTS</t>
  </si>
  <si>
    <t>Exceptional Items</t>
  </si>
  <si>
    <t xml:space="preserve">Long Term Provisions </t>
  </si>
  <si>
    <t xml:space="preserve">       a) Tangible assets </t>
  </si>
  <si>
    <t>Significant Accounting Policies</t>
  </si>
  <si>
    <t>Additional Information to financial statements</t>
  </si>
  <si>
    <t>The Company has only one class of equity shares having a par value of Rs.10 per share. Each Share holder is eligible for one vote per share.</t>
  </si>
  <si>
    <t>In the event of liquidation the equity share holders are eligible to receive the remaining assets of the company after distribution of all preferential amounts in proportion of their share holding.</t>
  </si>
  <si>
    <t>Term Loans</t>
  </si>
  <si>
    <t>Hire Purchase loans</t>
  </si>
  <si>
    <t>There is no case of continuing default as on the balance sheet date in respect of repayment of loans and interest.</t>
  </si>
  <si>
    <t>ii)   Hire Purchase Loans are secured by hypothecation of respective assets</t>
  </si>
  <si>
    <t xml:space="preserve">Beyond 1 year </t>
  </si>
  <si>
    <t>Within 1 year</t>
  </si>
  <si>
    <t>Repayment Schedule for term loans:</t>
  </si>
  <si>
    <t>Repayment Schedule for hire purchase:</t>
  </si>
  <si>
    <t>Aggregage amount of loans guaranteed by Chairman &amp; Managing Director towards term loans:</t>
  </si>
  <si>
    <t>Letter of Credit</t>
  </si>
  <si>
    <t xml:space="preserve">Current maturities of term loans - Secured </t>
  </si>
  <si>
    <t>Current maturities of Hire Purchase Loan - Secured</t>
  </si>
  <si>
    <t>Liabilities for expenses</t>
  </si>
  <si>
    <t>Liabilities for other finance</t>
  </si>
  <si>
    <t>Provision for Gratuity</t>
  </si>
  <si>
    <t>Note:    1)  Land Revalued as on 30/09/2003
                   Building and Plant &amp; Machinery revalued on 30/09/2002</t>
  </si>
  <si>
    <t>Percentage</t>
  </si>
  <si>
    <t>Long-term trade receivables</t>
  </si>
  <si>
    <t xml:space="preserve">   In Margin Money Deposit Account</t>
  </si>
  <si>
    <t>Balance with banks :</t>
  </si>
  <si>
    <t xml:space="preserve">  Sale of services - Conversion receipts</t>
  </si>
  <si>
    <t>2.   SHARE CAPITAL:</t>
  </si>
  <si>
    <t>3.  RESERVES AND SURPLUS:</t>
  </si>
  <si>
    <t>4.  LONG TERM BORROWINGS:</t>
  </si>
  <si>
    <t>Other non-current assets</t>
  </si>
  <si>
    <t>TRADE RECEIVABLES:</t>
  </si>
  <si>
    <t>See accompanying notes to the financial statements</t>
  </si>
  <si>
    <t>In terms of our Report of even date</t>
  </si>
  <si>
    <t>Basic and Diluted EPS (of Rs.10/- each) before exceptional items</t>
  </si>
  <si>
    <t>Basic and Diluted EPS (of Rs.10/- each) after exceptional items</t>
  </si>
  <si>
    <t xml:space="preserve">  ii)  Redeemable Preference Shares of Rs.100/- each</t>
  </si>
  <si>
    <t>i) Secured by equitable mortgage of 4.135 acres of vacant land situated at Coimbatore with all its present and future superstructure</t>
  </si>
  <si>
    <t>Work-in-process</t>
  </si>
  <si>
    <t xml:space="preserve">   Work-in-process</t>
  </si>
  <si>
    <t>&lt;----- Rupees -----&gt;</t>
  </si>
  <si>
    <t>Name of Shareholder</t>
  </si>
  <si>
    <t>Advances recoverable in cash or in kind, or for value to be received</t>
  </si>
  <si>
    <t>Directors' sitting Fees</t>
  </si>
  <si>
    <t>Auditors' Remuneration</t>
  </si>
  <si>
    <t>As at
31.03.2013</t>
  </si>
  <si>
    <t xml:space="preserve">       b) Capital Work in progress</t>
  </si>
  <si>
    <t>Loss before Exceptional Items and Tax</t>
  </si>
  <si>
    <t>Loss after Exceptional Items Transfered to Surplus A/c</t>
  </si>
  <si>
    <t>Capital Reserve - Land</t>
  </si>
  <si>
    <t>-</t>
  </si>
  <si>
    <t>Advance tax (Net of provisions)</t>
  </si>
  <si>
    <t xml:space="preserve">Unclaimed Matured Deposits </t>
  </si>
  <si>
    <t xml:space="preserve">BALANCE SHEET AS AT 31st  MARCH  2014 </t>
  </si>
  <si>
    <t>As at
31.03.2014</t>
  </si>
  <si>
    <t>*</t>
  </si>
  <si>
    <t>Advance towards Land</t>
  </si>
  <si>
    <t>10000 Equity Shares of Rs.10/- each fully paid up in COSCO LTD.,</t>
  </si>
  <si>
    <t>Conversion Charges Receivable</t>
  </si>
  <si>
    <t>Due from Partnership Firm in which Company is Partner</t>
  </si>
  <si>
    <t>Due from Partnership Firm in which Director is Partner</t>
  </si>
  <si>
    <r>
      <t xml:space="preserve">Stock (Decrease) / Increase                 </t>
    </r>
    <r>
      <rPr>
        <b/>
        <sz val="11"/>
        <rFont val="Calibri"/>
        <family val="2"/>
      </rPr>
      <t>Net (1 - 2)</t>
    </r>
  </si>
  <si>
    <t>5. OTHER NON CURRENT LIABILITIES</t>
  </si>
  <si>
    <t>Advances Towards Land</t>
  </si>
  <si>
    <t>Other Current Liabilities</t>
  </si>
  <si>
    <t>6. LONG TERM PROVISIONS:</t>
  </si>
  <si>
    <t>7. SHORT TERM BORROWINGS:</t>
  </si>
  <si>
    <t>8.  TRADE PAYABLES:</t>
  </si>
  <si>
    <t>9. OTHER CURRENT LIABILITIES:</t>
  </si>
  <si>
    <t>10. SHORT TERM PROVISIONS:</t>
  </si>
  <si>
    <t>11.   FIXED ASSETS:</t>
  </si>
  <si>
    <t>13.   LONG TERM LOANS AND ADVANCES:</t>
  </si>
  <si>
    <t>12.  NON-CURRENT INVESTMENT:</t>
  </si>
  <si>
    <t>14.OTHER NON-CURRENT ASSETS:</t>
  </si>
  <si>
    <t>15 INVENTORIES 
(at lower of cost or net realisable value)</t>
  </si>
  <si>
    <t>16.  TRADE RECEIVABLES:</t>
  </si>
  <si>
    <t>17. CASH AND CASH EQUIVALENTS:</t>
  </si>
  <si>
    <t>18. SHORT TERM LOANS AND ADVANCES:</t>
  </si>
  <si>
    <t>19.  OTHER CURRENT ASSETS:</t>
  </si>
  <si>
    <t>20.  REVENUE FROM OPERATIONS:</t>
  </si>
  <si>
    <t>21.  OTHER INCOME:</t>
  </si>
  <si>
    <t>22.  COST OF MATERIALS CONSUMED:</t>
  </si>
  <si>
    <t>23.  CHANGES IN INVENTORIES OF FINISHED GOODS AND WORK-IN-PROCESS</t>
  </si>
  <si>
    <t>26 Other Expenses</t>
  </si>
  <si>
    <t>As at
31.03.2015</t>
  </si>
  <si>
    <t>STATEMENT OF PROFIT AND LOSS FOR THE  YEAR ENDED 31 st MARCH 2015</t>
  </si>
  <si>
    <t>As at
01.04.2014</t>
  </si>
  <si>
    <t xml:space="preserve">Depreciation                                                                                           </t>
  </si>
  <si>
    <t>BALANCE SHEET AS AT 31st  MARCH  2015</t>
  </si>
  <si>
    <t>Compensation towards employees</t>
  </si>
  <si>
    <t>CODE</t>
  </si>
  <si>
    <t>As on 31.03.2015</t>
  </si>
  <si>
    <t>As on 31.03.2014</t>
  </si>
  <si>
    <t>FIXED ASSETS</t>
  </si>
  <si>
    <t>(in Rs.)</t>
  </si>
  <si>
    <t>E5001</t>
  </si>
  <si>
    <t>LAND</t>
  </si>
  <si>
    <t>LAND REVALUE 300903 ADDITION</t>
  </si>
  <si>
    <t>E5002</t>
  </si>
  <si>
    <t>BUILDING</t>
  </si>
  <si>
    <t>DEPN RES - BUILDING</t>
  </si>
  <si>
    <t>DEPN. RESERVE ON REV.OF BLDG.</t>
  </si>
  <si>
    <t>BUILDING REVALUE ON 30.09.2002</t>
  </si>
  <si>
    <t>QUARTERS BUILDING</t>
  </si>
  <si>
    <t>E5003</t>
  </si>
  <si>
    <t>PLANT AND MACHINERY</t>
  </si>
  <si>
    <t>DEPN RES - MACHINERY</t>
  </si>
  <si>
    <t>DEPN RESERVE ON REV.OF MACHINERY</t>
  </si>
  <si>
    <t>MACHINERY</t>
  </si>
  <si>
    <t>MACHINERY AND ELEC.M/CY REVALUE 30092002</t>
  </si>
  <si>
    <t>SAT DU:MACHINERY</t>
  </si>
  <si>
    <t>DEPN RES - ELEC EQUIPMENT</t>
  </si>
  <si>
    <t>ELECTRICAL EQUIPMENT</t>
  </si>
  <si>
    <t>ENERGY SAVING EQUIPMENT</t>
  </si>
  <si>
    <t>E5004</t>
  </si>
  <si>
    <t>FURNITURE AND FITTINGS</t>
  </si>
  <si>
    <t>CANTEEN VESSELS</t>
  </si>
  <si>
    <t>CYCLE</t>
  </si>
  <si>
    <t>DEPN RES - FURNITURE</t>
  </si>
  <si>
    <t>CANTEEN FURNITURE</t>
  </si>
  <si>
    <t>FURNITURE</t>
  </si>
  <si>
    <t>LABOUR WELFARE EQUIPMENT</t>
  </si>
  <si>
    <t>E5005</t>
  </si>
  <si>
    <t>MOTOR VEHICLES</t>
  </si>
  <si>
    <t>DEPN RES - MOTOR CYCLE</t>
  </si>
  <si>
    <t>DEPN RES - MOTOR VEHICLES</t>
  </si>
  <si>
    <t>E5006</t>
  </si>
  <si>
    <t>LIBRARY</t>
  </si>
  <si>
    <t>DEPN RES - LIBRARY</t>
  </si>
  <si>
    <t>INVESTMENTS (AT COST)</t>
  </si>
  <si>
    <t>E6006</t>
  </si>
  <si>
    <t>NON TRADE INVESTMENTS (UNQUOTED)</t>
  </si>
  <si>
    <t>INVESTMENTS IN EQUITY INSTRUMENTS</t>
  </si>
  <si>
    <t>SENTRA YARNS LTD- 2000 E.Q SHARES OF RS.10 EACH</t>
  </si>
  <si>
    <t>COTTON SOURCING COMPANY LTD - 10,000 Equity Shares of Rs. 10 each</t>
  </si>
  <si>
    <t>INVESTMENTS IN GOVT. SECURITIES</t>
  </si>
  <si>
    <t>7- YEARS NATIONAL SAVINGS CERTIFICATE</t>
  </si>
  <si>
    <t>6-YEAR NATIONAL SAVINGS CERTIFICATE</t>
  </si>
  <si>
    <t>INDIRA VIKAS PATRA</t>
  </si>
  <si>
    <t>CAPITAL INVESTMENT IN DOVE REAL ESTATES</t>
  </si>
  <si>
    <t>6 YR NSC  CHITOOR KERALA DUE ON 19/11/04</t>
  </si>
  <si>
    <t>NSC VIII PL.WITH COLLECTOR,CTR</t>
  </si>
  <si>
    <t>6 YEARS NSC - KKL - 070601&gt;070607</t>
  </si>
  <si>
    <t>DEFERRED TAX ASSETS</t>
  </si>
  <si>
    <t>E7001</t>
  </si>
  <si>
    <t>DEFRRED TAX ASSETS</t>
  </si>
  <si>
    <t>DEFERRED TAX  ASSETS</t>
  </si>
  <si>
    <t>INVENTORIES</t>
  </si>
  <si>
    <t>E8006</t>
  </si>
  <si>
    <t>RAW MATERIALS</t>
  </si>
  <si>
    <t>CLOSING STOCK OF RAW MATERIAL</t>
  </si>
  <si>
    <t>E8011</t>
  </si>
  <si>
    <t>PROCESS STOCK</t>
  </si>
  <si>
    <t>CLG STK PROCESS AND MIXING</t>
  </si>
  <si>
    <t>E8021</t>
  </si>
  <si>
    <t>FINISHED GOODS</t>
  </si>
  <si>
    <t>CLG STK OF FINISHED GOODS</t>
  </si>
  <si>
    <t>E8016</t>
  </si>
  <si>
    <t>WASTE</t>
  </si>
  <si>
    <t>CLG STK OF WASTE</t>
  </si>
  <si>
    <t>STOCK IN TRADE - LAND</t>
  </si>
  <si>
    <t>E8001</t>
  </si>
  <si>
    <t>STOCK OF STORES</t>
  </si>
  <si>
    <t>STOCK OF STORES - LOCAL</t>
  </si>
  <si>
    <t>STK OF BUILDING MATERIALS</t>
  </si>
  <si>
    <t>STK OF DISMANTLED M/C SPARES</t>
  </si>
  <si>
    <t>GRAND TOTAL</t>
  </si>
  <si>
    <t>SUNDRY DEBTORS</t>
  </si>
  <si>
    <t>E9001</t>
  </si>
  <si>
    <t>OUTSTANDING MORE THAN SIX MONTHS CONSIDERED GOOD</t>
  </si>
  <si>
    <t>SDO3C005</t>
  </si>
  <si>
    <t>CHAMBER COTTON TEXTILES</t>
  </si>
  <si>
    <t>SDO3S036</t>
  </si>
  <si>
    <t>SHANTHI MILLS (P) LTD</t>
  </si>
  <si>
    <t>SDO3S082</t>
  </si>
  <si>
    <t>SRI BALAMURUGAN FABRICS</t>
  </si>
  <si>
    <t>SDO3S083</t>
  </si>
  <si>
    <t>SRI BALAMURUGAN FABRICS (LC - HUNDI)</t>
  </si>
  <si>
    <t>SDYCB010</t>
  </si>
  <si>
    <t>BANNURAM ANILKUMAR AND CO - (CON)</t>
  </si>
  <si>
    <t>SDYCD007</t>
  </si>
  <si>
    <t>DELHI ENTERPRISES -  DELHI - CON</t>
  </si>
  <si>
    <t>SDYCD012</t>
  </si>
  <si>
    <t>DEVESH ENTERPRISE</t>
  </si>
  <si>
    <t>SDYCM007</t>
  </si>
  <si>
    <t>M L YARN (INDIA) PVT LTD - (CON)</t>
  </si>
  <si>
    <t>SDYSM017</t>
  </si>
  <si>
    <t>MAHABIR TEXTILE AGENCY - (CST)</t>
  </si>
  <si>
    <t>SDYCN003</t>
  </si>
  <si>
    <t>N M BROTHERS - (CON)</t>
  </si>
  <si>
    <t>SDYDS115</t>
  </si>
  <si>
    <t>SRI RAMAKRISHNA MILLS (CBE) LTD - ERODE</t>
  </si>
  <si>
    <t>SDYDS119</t>
  </si>
  <si>
    <t>SRI RAMAKRISHNA MILLS (CBE) LTD - SALEM</t>
  </si>
  <si>
    <t>SDYSH004</t>
  </si>
  <si>
    <t>HABASIT IAKOKA PVT LTD</t>
  </si>
  <si>
    <t>SDYSJ016</t>
  </si>
  <si>
    <t>JHUMARMAL SATYANARAIN</t>
  </si>
  <si>
    <t>SDYSN001</t>
  </si>
  <si>
    <t>N M BROTHERS - (CST)</t>
  </si>
  <si>
    <t>SDYSN009</t>
  </si>
  <si>
    <t>NATIONAL HANDLOOM DEVELOPMENT - CBE</t>
  </si>
  <si>
    <t>SDYSS047</t>
  </si>
  <si>
    <t>SHREE RAM TRADERS</t>
  </si>
  <si>
    <t>SDYSS050</t>
  </si>
  <si>
    <t>SHRI BHOMIYA YARN TRADERS</t>
  </si>
  <si>
    <t>SDYWG001</t>
  </si>
  <si>
    <t>G GURUSWAMY</t>
  </si>
  <si>
    <t>E9011</t>
  </si>
  <si>
    <t>OUTSTANDING LESS THAN SIX MONTHS</t>
  </si>
  <si>
    <t>SDYSA094</t>
  </si>
  <si>
    <t>ASHISH SILK MILLS</t>
  </si>
  <si>
    <t>SDYSA101</t>
  </si>
  <si>
    <t>ARTH POLY YARN (P) LTD</t>
  </si>
  <si>
    <t>SDYSB070</t>
  </si>
  <si>
    <t>B R COTTON FAB</t>
  </si>
  <si>
    <t>SDYSD028</t>
  </si>
  <si>
    <t>DHANANJAY JAYNATILAL SHAH</t>
  </si>
  <si>
    <t>SDYSD027</t>
  </si>
  <si>
    <t>DODHIA COTTON FABRICS</t>
  </si>
  <si>
    <t>SDYSH002</t>
  </si>
  <si>
    <t>HAPPY TRADERS</t>
  </si>
  <si>
    <t>SDYSK039</t>
  </si>
  <si>
    <t>KRISHNA TRADING COMPANY</t>
  </si>
  <si>
    <t>SDYSK043</t>
  </si>
  <si>
    <t>KANAKAVEL TEXTILE INDIA P LTD</t>
  </si>
  <si>
    <t>SDYSK053</t>
  </si>
  <si>
    <t>KOTHARI FABRICS</t>
  </si>
  <si>
    <t>SDYSK058</t>
  </si>
  <si>
    <t>KALYAN SURESH MHETRE</t>
  </si>
  <si>
    <t>SDYSK070</t>
  </si>
  <si>
    <t>KALPI KREATION</t>
  </si>
  <si>
    <t>SDYSM061</t>
  </si>
  <si>
    <t>MAHAVIR THREADS TRADING CO</t>
  </si>
  <si>
    <t>SDYSM070</t>
  </si>
  <si>
    <t>MARKIN TEX INDIA LLP</t>
  </si>
  <si>
    <t>SDYSM071</t>
  </si>
  <si>
    <t>MANAS SYNTHETICS</t>
  </si>
  <si>
    <t>SDYSP025</t>
  </si>
  <si>
    <t>PREMIER YARN STORES</t>
  </si>
  <si>
    <t>SDYSR048</t>
  </si>
  <si>
    <t>ROLEX SILK MILLS PVT.LTD</t>
  </si>
  <si>
    <t>SDYSS012</t>
  </si>
  <si>
    <t>SRI ARULMURUGAN TEXTILES PVT LTD</t>
  </si>
  <si>
    <t>SDYSS156</t>
  </si>
  <si>
    <t>SUNITHA ENTERPRISES</t>
  </si>
  <si>
    <t>SDYSS263</t>
  </si>
  <si>
    <t>SEIKO TEXTILES PVT LTD</t>
  </si>
  <si>
    <t>SDYSS264</t>
  </si>
  <si>
    <t>SURAJ CORPORATION</t>
  </si>
  <si>
    <t>SDYSS270</t>
  </si>
  <si>
    <t>SHRI MALLIKARJUN SALES CORPORATION</t>
  </si>
  <si>
    <t>SDYSS272</t>
  </si>
  <si>
    <t>SRI VISHNU MILLS</t>
  </si>
  <si>
    <t>SDYST022</t>
  </si>
  <si>
    <t>T.VENKATESAN</t>
  </si>
  <si>
    <t>SDYST025</t>
  </si>
  <si>
    <t>THE TIMBERS</t>
  </si>
  <si>
    <t>SDYSV020</t>
  </si>
  <si>
    <t>VISCOSE DISTRIBUTORES</t>
  </si>
  <si>
    <t>SDYSV028</t>
  </si>
  <si>
    <t>V PRAKASH TEXTILES</t>
  </si>
  <si>
    <t>SDYSV058</t>
  </si>
  <si>
    <t>VIJAY TEX</t>
  </si>
  <si>
    <t>SDYWA058</t>
  </si>
  <si>
    <t>ADIYAR CORPORATION</t>
  </si>
  <si>
    <t>SDYWD001</t>
  </si>
  <si>
    <t>DAVULATH BED CENTRE</t>
  </si>
  <si>
    <t>SDYWK040</t>
  </si>
  <si>
    <t>K.S.SUBRAMANYA RAJA</t>
  </si>
  <si>
    <t>SDYWK041</t>
  </si>
  <si>
    <t>KVG ENTERPRISES</t>
  </si>
  <si>
    <t>SDYWK045</t>
  </si>
  <si>
    <t>KARTHIKEYA AGENCIES</t>
  </si>
  <si>
    <t>SDYWK046</t>
  </si>
  <si>
    <t>KARUNYA TRADERS</t>
  </si>
  <si>
    <t>SDYWKO46</t>
  </si>
  <si>
    <t>SDYWR005</t>
  </si>
  <si>
    <t>RAMNAS EXIM ENTERPRISES PVT LTD</t>
  </si>
  <si>
    <t>SDYWV005</t>
  </si>
  <si>
    <t>VENKATA SAI COTTON CORPORATION</t>
  </si>
  <si>
    <t>SDYWS171</t>
  </si>
  <si>
    <t>SRI SUPREME PRODUCTS</t>
  </si>
  <si>
    <t>SD05A106</t>
  </si>
  <si>
    <t>A K ARUMUGAM</t>
  </si>
  <si>
    <t>SD05A107</t>
  </si>
  <si>
    <t>S CHINNASAMY</t>
  </si>
  <si>
    <t>SD05A108</t>
  </si>
  <si>
    <t>M VELLINGIRI</t>
  </si>
  <si>
    <t>SD05A109</t>
  </si>
  <si>
    <t>C NACHIMUTHU</t>
  </si>
  <si>
    <t>SD05A110</t>
  </si>
  <si>
    <t>P TAMILSELVI</t>
  </si>
  <si>
    <t>SD05A111</t>
  </si>
  <si>
    <t>R KETTIMUTHU</t>
  </si>
  <si>
    <t>SD05A112</t>
  </si>
  <si>
    <t>A BALUSAMY</t>
  </si>
  <si>
    <t>SD05A113</t>
  </si>
  <si>
    <t>C KUPPUSAMY</t>
  </si>
  <si>
    <t>SD05AD16</t>
  </si>
  <si>
    <t>OM GANESH FABRICS</t>
  </si>
  <si>
    <t>SD05AD28</t>
  </si>
  <si>
    <t>P.S.GOPALAKRISHNA MUDALIYAR</t>
  </si>
  <si>
    <t>SD05AD33</t>
  </si>
  <si>
    <t>T.A.SHANMUGA VADIVELU</t>
  </si>
  <si>
    <t>SD05AD44</t>
  </si>
  <si>
    <t>P.M.G. ENTERPRISES</t>
  </si>
  <si>
    <t>SD05AD46</t>
  </si>
  <si>
    <t>LAKSHMI TRADERS</t>
  </si>
  <si>
    <t>SD05AD52</t>
  </si>
  <si>
    <t>T.GANGADHARAN   WEAVER</t>
  </si>
  <si>
    <t>SD05AD68</t>
  </si>
  <si>
    <t>SATHIS TEXTILES</t>
  </si>
  <si>
    <t>SD05AD73</t>
  </si>
  <si>
    <t>K NALLASIVAM</t>
  </si>
  <si>
    <t>SD05AD74</t>
  </si>
  <si>
    <t>S RAMASAMY</t>
  </si>
  <si>
    <t>SD05AD75</t>
  </si>
  <si>
    <t>R ELANGO</t>
  </si>
  <si>
    <t>SD05AD76</t>
  </si>
  <si>
    <t>P KANDASAAMY</t>
  </si>
  <si>
    <t>SD05AD77</t>
  </si>
  <si>
    <t>N S NACHIMUTHU</t>
  </si>
  <si>
    <t>SD05AD81</t>
  </si>
  <si>
    <t>K THANGAVEL</t>
  </si>
  <si>
    <t>SD05AD82</t>
  </si>
  <si>
    <t>P SELVAM</t>
  </si>
  <si>
    <t>Less than 6 months</t>
  </si>
  <si>
    <t>More than 6 months</t>
  </si>
  <si>
    <t>Long Term Trade Receivable</t>
  </si>
  <si>
    <t>CASH AND BANK BALANCES</t>
  </si>
  <si>
    <t>E10001</t>
  </si>
  <si>
    <t>CASH ON HAND</t>
  </si>
  <si>
    <t>TIME OFFICE IMPREST</t>
  </si>
  <si>
    <t>PALLADAM OFFICE IMPREST</t>
  </si>
  <si>
    <t>E10011</t>
  </si>
  <si>
    <t>BANK BALANCES WITH SCHEDULED BANKS</t>
  </si>
  <si>
    <t>IN CURRENT ACCOUNT</t>
  </si>
  <si>
    <t>INDIAN BANK  C/A NO.447866233</t>
  </si>
  <si>
    <t xml:space="preserve">BANK OF BARODA CURRENT A/C No. </t>
  </si>
  <si>
    <t>INDIAN BANK - NAGARI- C.A.NO.515255911</t>
  </si>
  <si>
    <t>INDIAN BANK - SATHY- C.A.NO.512979481</t>
  </si>
  <si>
    <t>KARUR VYSA BANK LTD- GANAPATHY</t>
  </si>
  <si>
    <t>KARUR VYSA BANK LTD - NAGARI</t>
  </si>
  <si>
    <t>KARUR VYSA BANK LTD - SATHY</t>
  </si>
  <si>
    <t>STATE BANK OF INDIA - SATHY C.A.NO.11207805669</t>
  </si>
  <si>
    <t>STATE BANK OF INDIA - NAGARI C.A NO 30609287558</t>
  </si>
  <si>
    <t>CITI BANK C/A NO- 0000988421</t>
  </si>
  <si>
    <t>KOTAK MAHINDRA BANK LTD C/A 04912980000135</t>
  </si>
  <si>
    <t>BANK OF BARODA A/C#35540200000336</t>
  </si>
  <si>
    <t>MARGIN MONEY DEPOSIT ACCOUNT</t>
  </si>
  <si>
    <t>S I B MARGIN ON LC</t>
  </si>
  <si>
    <t>E10006</t>
  </si>
  <si>
    <t>STAMPS ON HAND</t>
  </si>
  <si>
    <t>STOCK OF STAMPS</t>
  </si>
  <si>
    <t>OTHER CURRENT ASSETS</t>
  </si>
  <si>
    <t>E11001</t>
  </si>
  <si>
    <t>INTEREST ACCRUED ON DEPOSITS</t>
  </si>
  <si>
    <t>E11006</t>
  </si>
  <si>
    <t>CONVERSION CHARGES RECEIVABLE</t>
  </si>
  <si>
    <t>MARUDHAR SPINNING AND WEAVING  MILLS</t>
  </si>
  <si>
    <t>SHORT TERM LOANS &amp; ADVANCES</t>
  </si>
  <si>
    <t>ADVANCES RECOVERABLE IN CASH OR KIND</t>
  </si>
  <si>
    <t>E12011</t>
  </si>
  <si>
    <t>DUE FROM EMPLOYEES</t>
  </si>
  <si>
    <t>INSURANCE CLAIM</t>
  </si>
  <si>
    <t>MILL COOLY WAGES R OFF</t>
  </si>
  <si>
    <t>P.NITHYANANDAN PURCHASE A/C</t>
  </si>
  <si>
    <t>MILL COOLY ADVANCE</t>
  </si>
  <si>
    <t>STAFF MESS</t>
  </si>
  <si>
    <t>STAFF ADVANCE</t>
  </si>
  <si>
    <t>PRESIDING OFFICER/LABOUR COURT(ESI)</t>
  </si>
  <si>
    <t>SUBBLAKSHMI-S W/O SIGAMANI</t>
  </si>
  <si>
    <t>TELUGUNADU  TRADE UNION CONGRESS</t>
  </si>
  <si>
    <t>SUBRAMANIAM(PREP.DEPT)ADVANCE</t>
  </si>
  <si>
    <t>N M ETHIRAJAN PURCHASE A/C</t>
  </si>
  <si>
    <t>VENKATARAMANA K IMPREST</t>
  </si>
  <si>
    <t>GANESAN  K ( TOILET CLEANER)</t>
  </si>
  <si>
    <t>RUPINDER SINGH PURI  (FD HOLDER)</t>
  </si>
  <si>
    <t>12011046</t>
  </si>
  <si>
    <t>P.RAMKUMAR PURCHASE A/C</t>
  </si>
  <si>
    <t>VELLIANGIRI N - EX AM ELEC</t>
  </si>
  <si>
    <t>12011052</t>
  </si>
  <si>
    <t>K.LINGAPPAN(WATCH MAN)</t>
  </si>
  <si>
    <t>KOTAK MAHINDRA PRIME LTD - (TDS )</t>
  </si>
  <si>
    <t>SCPPS003</t>
  </si>
  <si>
    <t>SWATHY PROCESSORS LTD</t>
  </si>
  <si>
    <t>H S B C - CREDIT CARD A/C</t>
  </si>
  <si>
    <t>ADVANCE - TRAVELLING EXPS</t>
  </si>
  <si>
    <t>E12021</t>
  </si>
  <si>
    <t>THE SOUTH INDIA TEXTILE RES. ASSON.</t>
  </si>
  <si>
    <t>SRI BHAGAVATHY TRADERS (GODOWN RENT)</t>
  </si>
  <si>
    <t>SRI RAMAKRISHNA YARN CARRIERS LTD - RENT</t>
  </si>
  <si>
    <t>JCF FLUID FLOW INDIA PVT LTD</t>
  </si>
  <si>
    <t>IT DEDD ON ACCRUED INTEREST ON FDS</t>
  </si>
  <si>
    <t>SCBCD002</t>
  </si>
  <si>
    <t>DIVYA ENTERPRISES</t>
  </si>
  <si>
    <t>SCBCN005</t>
  </si>
  <si>
    <t>K C NEELAMEGAM</t>
  </si>
  <si>
    <t>SCBCP002</t>
  </si>
  <si>
    <t>PAWAN BHAGERIA</t>
  </si>
  <si>
    <t>SCBCR004</t>
  </si>
  <si>
    <t>RR EXPORTS</t>
  </si>
  <si>
    <t>SCBCS012</t>
  </si>
  <si>
    <t>SATHYA RAM</t>
  </si>
  <si>
    <t>SCPPA007</t>
  </si>
  <si>
    <t>AVIGHNA YARNS</t>
  </si>
  <si>
    <t>SCPPG001</t>
  </si>
  <si>
    <t>G AND G INDUSTRIES</t>
  </si>
  <si>
    <t>SCPPP015</t>
  </si>
  <si>
    <t>PARTHIV ENTERPRISES</t>
  </si>
  <si>
    <t>SCPPS002</t>
  </si>
  <si>
    <t>SRI SOWDESWARI TEX</t>
  </si>
  <si>
    <t>SCRMA022</t>
  </si>
  <si>
    <t>ALOK INDUSTRIES LIMITED</t>
  </si>
  <si>
    <t>SCRMA023</t>
  </si>
  <si>
    <t>SCRMC007</t>
  </si>
  <si>
    <t>COTTON SOURCING COMPANY LTD</t>
  </si>
  <si>
    <t>SCRMG002</t>
  </si>
  <si>
    <t>GRASIM INDUSTRIES LIMITED</t>
  </si>
  <si>
    <t>SCRMG004</t>
  </si>
  <si>
    <t>G.PARANDHAMAIAH AND CO.,COTTON GNG MILLS</t>
  </si>
  <si>
    <t>SCRMH003</t>
  </si>
  <si>
    <t>H.M.TEXTILES PVT LTD</t>
  </si>
  <si>
    <t>SCRMK001</t>
  </si>
  <si>
    <t>KENDRIYA COTTON CO</t>
  </si>
  <si>
    <t>SCRMK016</t>
  </si>
  <si>
    <t>KANYAKAPARAMESWARI COTTON COMPANY</t>
  </si>
  <si>
    <t>SCRMM002</t>
  </si>
  <si>
    <t>MP COTTON TRADERS</t>
  </si>
  <si>
    <t>SCRMM011</t>
  </si>
  <si>
    <t>MOTILAL BHAGIRATH GINNING FACTORY</t>
  </si>
  <si>
    <t>SCRMM022</t>
  </si>
  <si>
    <t>MEENAKSHI ENTERPRISES</t>
  </si>
  <si>
    <t>SCRMO002</t>
  </si>
  <si>
    <t>OM PRAKASH COTTON GINNING INDUSTRIES</t>
  </si>
  <si>
    <t>SCRMP005</t>
  </si>
  <si>
    <t>PALLAVI ENTERPRISES</t>
  </si>
  <si>
    <t>SCRMS016</t>
  </si>
  <si>
    <t>SRINIDHI INDUSTRISES LIMITED</t>
  </si>
  <si>
    <t>SCRMS021</t>
  </si>
  <si>
    <t>SHEETAL UDYOG,AURANGABAD</t>
  </si>
  <si>
    <t>SCRMS035</t>
  </si>
  <si>
    <t>SUSEELA COTTON CO</t>
  </si>
  <si>
    <t>SCRMS082</t>
  </si>
  <si>
    <t>SHEETAL COTTON TRADERS</t>
  </si>
  <si>
    <t>SCSIM003</t>
  </si>
  <si>
    <t>MILLWRIGHT ENGINEERING PVT LTD</t>
  </si>
  <si>
    <t>SCSCS001</t>
  </si>
  <si>
    <t>SRI RAMAKRISHNA YARN CARRIERS LTD</t>
  </si>
  <si>
    <t>SCSCS002</t>
  </si>
  <si>
    <t>SRI RAMAKRISHNA YARN CARRIERS LTD, GPY</t>
  </si>
  <si>
    <t>SCSPA001</t>
  </si>
  <si>
    <t>APPU AGENCIES</t>
  </si>
  <si>
    <t>SCSPA035</t>
  </si>
  <si>
    <t>ASHOK RADIATOR WORKS</t>
  </si>
  <si>
    <t>SCSPA032</t>
  </si>
  <si>
    <t>AJAI TYRE POINT</t>
  </si>
  <si>
    <t>SCSPC011</t>
  </si>
  <si>
    <t>CONSUL CONSOLIDATED P LTD</t>
  </si>
  <si>
    <t>SCSPC027</t>
  </si>
  <si>
    <t>CAI INDUSTIRES PVT LTD</t>
  </si>
  <si>
    <t>SCSPE008</t>
  </si>
  <si>
    <t>EXEMPLAR NIHON SPINDLE MFRS.CO.P.LTD</t>
  </si>
  <si>
    <t>SCSPG006</t>
  </si>
  <si>
    <t>GEEKAY GAS AGENCY</t>
  </si>
  <si>
    <t>SCSPG025</t>
  </si>
  <si>
    <t>GLOBBAL ELECTRICALS</t>
  </si>
  <si>
    <t>SCSPH005</t>
  </si>
  <si>
    <t>HABASIT IAKOKA P LTD</t>
  </si>
  <si>
    <t>SCSPH011</t>
  </si>
  <si>
    <t>HCL INFOSYSTEMS LTD</t>
  </si>
  <si>
    <t>SCSPI005</t>
  </si>
  <si>
    <t>INDUS ELECTRONICS  INDIA (P) LTD</t>
  </si>
  <si>
    <t>SCSPK025</t>
  </si>
  <si>
    <t>KANAGARAJ ENGINE RECONDITIONERS</t>
  </si>
  <si>
    <t>SCSPM035</t>
  </si>
  <si>
    <t>MASTERMIND TECHNOSOLUTIONS P LTD</t>
  </si>
  <si>
    <t>SCSPP011</t>
  </si>
  <si>
    <t>PREMIER EVOLVICS P LTD</t>
  </si>
  <si>
    <t>SCSPP035</t>
  </si>
  <si>
    <t>PHOENIX TECHNOLOGIES</t>
  </si>
  <si>
    <t>SCSPP039</t>
  </si>
  <si>
    <t>PHOENIX IT SERVICE</t>
  </si>
  <si>
    <t>SCSPR028</t>
  </si>
  <si>
    <t>RAJ DECORATORS</t>
  </si>
  <si>
    <t>SCSPS011</t>
  </si>
  <si>
    <t>SUPREME FORMS P LTD</t>
  </si>
  <si>
    <t>SCSPS024</t>
  </si>
  <si>
    <t>SPECIAL INSTRUMENTS SERVICES</t>
  </si>
  <si>
    <t>SCSPS032</t>
  </si>
  <si>
    <t>SREE KARPAGA VINAYAGAR AGENCIES</t>
  </si>
  <si>
    <t>SCSPS055</t>
  </si>
  <si>
    <t>SIEGER SPINTECH EQUIPMENTS P LTD</t>
  </si>
  <si>
    <t>SCSPS101</t>
  </si>
  <si>
    <t>SHRI LAKSHMI INDUSTRIES</t>
  </si>
  <si>
    <t>SCSPS103</t>
  </si>
  <si>
    <t>SHANTHI ELECTRICALS</t>
  </si>
  <si>
    <t>SCSPS105</t>
  </si>
  <si>
    <t>SRI KRISHNA FUELS</t>
  </si>
  <si>
    <t>SCSPS116</t>
  </si>
  <si>
    <t>SUNDARAM INDUSTRIES LIMITED</t>
  </si>
  <si>
    <t>SCSPS128</t>
  </si>
  <si>
    <t>SAVIO INDIA LIMITED</t>
  </si>
  <si>
    <t>SCSPS156</t>
  </si>
  <si>
    <t>SREE SIDDARTH TEXTILES</t>
  </si>
  <si>
    <t>SCSPT010</t>
  </si>
  <si>
    <t>THE INDIAN CARD CLOTHING CO LTD</t>
  </si>
  <si>
    <t>SCSPV013</t>
  </si>
  <si>
    <t>VEEJAY LAKSHMI ENGG WORKS LTD</t>
  </si>
  <si>
    <t>SCSPV015</t>
  </si>
  <si>
    <t>VOLTAS LIMITED</t>
  </si>
  <si>
    <t>SCSPV020</t>
  </si>
  <si>
    <t>VIJAYESWARI RING TRAVELLERS (P) LTD</t>
  </si>
  <si>
    <t>SCSPV022</t>
  </si>
  <si>
    <t>VEEJAY SAVIO LAKSHMI MACH LTD</t>
  </si>
  <si>
    <t>SCSPV030</t>
  </si>
  <si>
    <t>VENGATESWARA HARDWARE</t>
  </si>
  <si>
    <t>SCSPV035</t>
  </si>
  <si>
    <t>VIGNESHWARA TRADERS</t>
  </si>
  <si>
    <t>Short Term</t>
  </si>
  <si>
    <t>E12026</t>
  </si>
  <si>
    <t>ADVANCE FOR PURCHASE OF CAPITAL ASSETS</t>
  </si>
  <si>
    <t>SCMPL001</t>
  </si>
  <si>
    <t>LAKSHMI MACHINE WORKS LTD</t>
  </si>
  <si>
    <t>SCRMT016</t>
  </si>
  <si>
    <t>THE COTTON CORPORATION OF INDIA LTD</t>
  </si>
  <si>
    <t>E12031</t>
  </si>
  <si>
    <t>ADVANCE TAX</t>
  </si>
  <si>
    <t>I T DEDUCTED ON INVESTMENTS</t>
  </si>
  <si>
    <t>I T DEDUCTED ON INT.RECEIPTS</t>
  </si>
  <si>
    <t>ADVANCE INCOME TAX</t>
  </si>
  <si>
    <t>Less: PROVISION FOR INCOME TAX</t>
  </si>
  <si>
    <t>MAT CREDIT ENTITLEMENT</t>
  </si>
  <si>
    <t>E12036</t>
  </si>
  <si>
    <t>BALANCES WITH EXCISE DEPT,SALES TAX,CUSTOMS ETC</t>
  </si>
  <si>
    <t>ELIGIBLE INPUT TAX CLAIM</t>
  </si>
  <si>
    <t>COLLECTOR OF CENTRAL EXCISE-C.Y.</t>
  </si>
  <si>
    <t>COLLECTOR OF CENTRAL EXCISE-S.F.</t>
  </si>
  <si>
    <t>COLLECTOR OF CENTRAL EXCISE(NON CELL.S.Y.)</t>
  </si>
  <si>
    <t>VAT INPUT TAX  5%</t>
  </si>
  <si>
    <t>E12041</t>
  </si>
  <si>
    <t>ADVANCE - C S T</t>
  </si>
  <si>
    <t>ADVANCE -  T N G S T</t>
  </si>
  <si>
    <t>ADVANCE - C S T (KERALA STATE)</t>
  </si>
  <si>
    <t>B S N L SECURITY DEPOSIT</t>
  </si>
  <si>
    <t>CESS TO MARKET COMMITTEE - DEPOSIT</t>
  </si>
  <si>
    <t>L T CURRENT CONSUMPTION DEPOSIT SC # 4339</t>
  </si>
  <si>
    <t>S I B MARGIN ON FD</t>
  </si>
  <si>
    <t>NEW INDIA  ASSURANCE CO LTD</t>
  </si>
  <si>
    <t>H T METER CAUTION DEPOSIT (E B)</t>
  </si>
  <si>
    <t>I B CASH CERT (PLEDGED WITH C .E)</t>
  </si>
  <si>
    <t>H T CURRENT CONSUMPTION DEPOSIT</t>
  </si>
  <si>
    <t>L T CURRENT CUNSUMPTION DEP (SAHTY DU)</t>
  </si>
  <si>
    <t>SREE MURUGAN GAS AGENCY</t>
  </si>
  <si>
    <t>MAHINDRA HOLIDAYS AND RESORTS IN LTD</t>
  </si>
  <si>
    <t>RAJALINGAM TRANSPORT</t>
  </si>
  <si>
    <t>STERLING HOLIDAY RES (INDIA) LTD</t>
  </si>
  <si>
    <t>ADVANCE TAX - VAT</t>
  </si>
  <si>
    <t>C T O - GANAPATHY CIRCLE</t>
  </si>
  <si>
    <t>ADVANCE TAX - KGST- KARAIKAL</t>
  </si>
  <si>
    <t>LOCAL PLANNING AUTHORITY -CBE</t>
  </si>
  <si>
    <t>GLOBAL ENERGY PRIVATE LTD (SECURITY DEPOSIT)</t>
  </si>
  <si>
    <t>ACCOUNTS OFFICER TIRUPATHI- (EB FSA)</t>
  </si>
  <si>
    <t>CITIBANK CARD A/C</t>
  </si>
  <si>
    <t>E12046</t>
  </si>
  <si>
    <t>PREPAID EXPENSES</t>
  </si>
  <si>
    <t>PREPAID EXPS</t>
  </si>
  <si>
    <t>E12001</t>
  </si>
  <si>
    <t>DUE FROM PARTNERSHIP FIRM IN WHICH CO., IS PARTNER</t>
  </si>
  <si>
    <t>DOVE REAL ESTATE</t>
  </si>
  <si>
    <t>E12006</t>
  </si>
  <si>
    <t>DUE FROM CO., IN WHICH DIRECTORS ARE INTERESTED</t>
  </si>
  <si>
    <t>SRI JAGANATHA TEXTILES LIMITED</t>
  </si>
  <si>
    <t>DUE FROM ASSOCIATES IN WHICH DIRECTORS ARE INTERESTED</t>
  </si>
  <si>
    <t>SCPPS001</t>
  </si>
  <si>
    <t>SRI JAGANATHA GINNING AND OIL</t>
  </si>
  <si>
    <t xml:space="preserve">SRI RAMAKRISHNA MILLS (CBE) LTD 
COIMBATORE - 641 006
</t>
  </si>
  <si>
    <t>Details of Balance Sheet</t>
  </si>
  <si>
    <t xml:space="preserve"> As on 14-15</t>
  </si>
  <si>
    <t>As on 13-14</t>
  </si>
  <si>
    <t>E3006</t>
  </si>
  <si>
    <t>FROM BANKS</t>
  </si>
  <si>
    <t>THE SIB A/C 0310083000000118 -OCC</t>
  </si>
  <si>
    <t>KOTAK MAHINDRA BANK LTD (TERM LOAN -II - 139.51LACS)</t>
  </si>
  <si>
    <t>KOTAK MAHINDRA BANK LTD (TERM LOAN -III -510.48 LACS)</t>
  </si>
  <si>
    <t>KOTAK MAHINDRA BANK LTD (BILLS DISCOUNTING</t>
  </si>
  <si>
    <t>Current maturities of Long Term Borrowings</t>
  </si>
  <si>
    <t>TERM LOAN</t>
  </si>
  <si>
    <t>03006010</t>
  </si>
  <si>
    <t>THE SIB TERM LOAN # 3 (MACHINERY A/C)</t>
  </si>
  <si>
    <t>THE SIB WCTL (200 L)-  A/C # 1 -301-651-302</t>
  </si>
  <si>
    <t>THE SIB WCTL (300 L) A/C # 2 / 310-651-316</t>
  </si>
  <si>
    <t>KOTAK MAHINDRA PRIME LTD (JAGUAR CAR)</t>
  </si>
  <si>
    <t>INT SUSP UMAT FIN CHGS.(JAGUAR CAR)</t>
  </si>
  <si>
    <t>04016075</t>
  </si>
  <si>
    <t>D.LAKSHMINARAYANASWAMY HDFC (VOLVO) CAR</t>
  </si>
  <si>
    <t>04016076</t>
  </si>
  <si>
    <t>HDFC BANKS (CREUZE CAR)</t>
  </si>
  <si>
    <t>04016080</t>
  </si>
  <si>
    <t>L.NAGASWARNA (HDFC) - USED CAR</t>
  </si>
  <si>
    <t>DIRECTOR'S DEPOSIT</t>
  </si>
  <si>
    <t>04016077</t>
  </si>
  <si>
    <t>L NAGASWARNA (SIB FLEXI LOAN)</t>
  </si>
  <si>
    <t>04016078</t>
  </si>
  <si>
    <t>D.LAKSHMINARAYANASWAMY (HDB)</t>
  </si>
  <si>
    <t>04016079</t>
  </si>
  <si>
    <t>D.LAKSHMINARAYANASWAMY (CUB)</t>
  </si>
  <si>
    <t>04016044</t>
  </si>
  <si>
    <t>LAKSHMINARAYANASWAMY  D  -  MD</t>
  </si>
  <si>
    <t>D LAKSHMINARAYANASWAMY - (REPCO BANK)</t>
  </si>
  <si>
    <t>D LAKSHMINARAYANASWAMY - FD</t>
  </si>
  <si>
    <t>31.03.2015</t>
  </si>
  <si>
    <t>31.03.2014</t>
  </si>
  <si>
    <t>INTER CORPORATE DEPOSITS</t>
  </si>
  <si>
    <t>04016066</t>
  </si>
  <si>
    <t>BAJAJ FINSERV LENDING(SRYC)</t>
  </si>
  <si>
    <t>04016068</t>
  </si>
  <si>
    <t>TATA CAPITAL FINANCIAL SERVICES LTD(SRYC)</t>
  </si>
  <si>
    <t>04016073</t>
  </si>
  <si>
    <t>MAGMA FINCORP LIMITED(SRYC)</t>
  </si>
  <si>
    <t>04016074</t>
  </si>
  <si>
    <t>RELIANCE COMMERCIAL FINANCE(SRYC)</t>
  </si>
  <si>
    <t>UNSECURED LOANS</t>
  </si>
  <si>
    <t>E4001</t>
  </si>
  <si>
    <t>FIXED DEPOSITS</t>
  </si>
  <si>
    <t>Unclaimed matured deposits - OCL</t>
  </si>
  <si>
    <t>E4006</t>
  </si>
  <si>
    <t>TRADE DEPOSITS</t>
  </si>
  <si>
    <t>DILIP BHARAT AND CO</t>
  </si>
  <si>
    <t>KALYANI AGENCIES</t>
  </si>
  <si>
    <t>KALYANI ENTERPRISES</t>
  </si>
  <si>
    <t>VIOMSHI TEXTILES PVT LTD</t>
  </si>
  <si>
    <t>TRADE DEPOSIT</t>
  </si>
  <si>
    <t>E4016</t>
  </si>
  <si>
    <t>SUHASINI R</t>
  </si>
  <si>
    <t>KOTAK MAHINDRA PRIME LTD.,(MAHINDRA MAX LX FESTARA)</t>
  </si>
  <si>
    <t>SURESH CHAND - HUF</t>
  </si>
  <si>
    <t>SRI RANGA AGENCIES- LOAN A/C (RS. 168 LAKHS)</t>
  </si>
  <si>
    <t>TEPEYES YARN COMPANY</t>
  </si>
  <si>
    <t>SRI KARTHIKEYA CORPORATION</t>
  </si>
  <si>
    <t>SRI HEMA AND CO</t>
  </si>
  <si>
    <t>VALLIYAMMAL R</t>
  </si>
  <si>
    <t>RAMSAMY YARN CORPORATION</t>
  </si>
  <si>
    <t>KRISHNAVENI V</t>
  </si>
  <si>
    <t>SUDARSHINI VARADARAJ</t>
  </si>
  <si>
    <t>ETHIRAJAN. N M</t>
  </si>
  <si>
    <t>SRI RANGA AGENCIES</t>
  </si>
  <si>
    <t>SRI JAGANATHA ENTERPRISES</t>
  </si>
  <si>
    <t>ALLI  .K</t>
  </si>
  <si>
    <t>KESAVARAJ R</t>
  </si>
  <si>
    <t>ESWAR ENTERPRISES</t>
  </si>
  <si>
    <t>ESWAR EXPORTS</t>
  </si>
  <si>
    <t>N.RAMANATHAN</t>
  </si>
  <si>
    <t>N.SUNDARAM</t>
  </si>
  <si>
    <t>CHITRA GOVINDARAJAN</t>
  </si>
  <si>
    <t>DUE TO ASSOCIATES</t>
  </si>
  <si>
    <t>SRI JAGANATHA GINNING AND OIL MILLS (TRADE DEPOSIT)</t>
  </si>
  <si>
    <t>SRI JAGANATHA GINNING AND OIL MILLS  (2 CRORE)</t>
  </si>
  <si>
    <t>Short term Borrowings</t>
  </si>
  <si>
    <t>E13001</t>
  </si>
  <si>
    <t>LIABILITIES FOR PURCHASES</t>
  </si>
  <si>
    <t>SCBCA004</t>
  </si>
  <si>
    <t>ABHISHEK NARULA</t>
  </si>
  <si>
    <t>SCBCA005</t>
  </si>
  <si>
    <t>ATHEREYA ENTERPRISES</t>
  </si>
  <si>
    <t>SCBCA007</t>
  </si>
  <si>
    <t>ATHREYA ENTERPRISES</t>
  </si>
  <si>
    <t>SCBCA009</t>
  </si>
  <si>
    <t>ANUJ ENTERPRISES</t>
  </si>
  <si>
    <t>SCBCB002</t>
  </si>
  <si>
    <t>B R AGENCIES</t>
  </si>
  <si>
    <t>SCBCC003</t>
  </si>
  <si>
    <t>CLASSIC YARNS</t>
  </si>
  <si>
    <t>SCBCD001</t>
  </si>
  <si>
    <t>DILIP BHARATH AND CO</t>
  </si>
  <si>
    <t>SCBCD003</t>
  </si>
  <si>
    <t>DEVIKA ENTERPRISES</t>
  </si>
  <si>
    <t>SCBCD004</t>
  </si>
  <si>
    <t>DHARMAMOORTHY.C</t>
  </si>
  <si>
    <t>SCBCD005</t>
  </si>
  <si>
    <t>DORAIRAJ.K</t>
  </si>
  <si>
    <t>SCBCD006</t>
  </si>
  <si>
    <t>DAMODHAR.V</t>
  </si>
  <si>
    <t>SCBCD008</t>
  </si>
  <si>
    <t>DHRUHI ENTERPRISES</t>
  </si>
  <si>
    <t>SCBCD009</t>
  </si>
  <si>
    <t>DHARMARAJ C</t>
  </si>
  <si>
    <t>SCBCF001</t>
  </si>
  <si>
    <t>FINE YARNS</t>
  </si>
  <si>
    <t>SCBCG002</t>
  </si>
  <si>
    <t>GANESAN K C</t>
  </si>
  <si>
    <t>SCBCG003</t>
  </si>
  <si>
    <t>GOVINDARAJ N</t>
  </si>
  <si>
    <t>SCBCG004</t>
  </si>
  <si>
    <t>GIRI RAJ KUMAR P</t>
  </si>
  <si>
    <t>SCBCJ002</t>
  </si>
  <si>
    <t>JAI BALAJI EXIM</t>
  </si>
  <si>
    <t>SCBCJ003</t>
  </si>
  <si>
    <t>JAGDISH AMRITLAL</t>
  </si>
  <si>
    <t>SCBCK003</t>
  </si>
  <si>
    <t>SCBCK005</t>
  </si>
  <si>
    <t>SCBCK012</t>
  </si>
  <si>
    <t>KANAGARAJAN</t>
  </si>
  <si>
    <t>SCBCK013</t>
  </si>
  <si>
    <t>R.KALYANASUNDARAM</t>
  </si>
  <si>
    <t>SCBCM004</t>
  </si>
  <si>
    <t>MEENAKSHI SALES CORPORATION</t>
  </si>
  <si>
    <t>SCBCM007</t>
  </si>
  <si>
    <t>MADHAN AGENCY</t>
  </si>
  <si>
    <t>SCBCN006</t>
  </si>
  <si>
    <t>NAGARAJAN R</t>
  </si>
  <si>
    <t>SCBCN007</t>
  </si>
  <si>
    <t>NAVIN NARULA</t>
  </si>
  <si>
    <t>SCBCP010</t>
  </si>
  <si>
    <t>RV.PALANIAPPAN</t>
  </si>
  <si>
    <t>SCBCP011</t>
  </si>
  <si>
    <t>PARAMASIVAM</t>
  </si>
  <si>
    <t>SCBCR009</t>
  </si>
  <si>
    <t>RASHMI GOENKA</t>
  </si>
  <si>
    <t>SCBCS003</t>
  </si>
  <si>
    <t>SRINIVASAN.K</t>
  </si>
  <si>
    <t>SCBCS014</t>
  </si>
  <si>
    <t>SRI VINAY AGENCIES</t>
  </si>
  <si>
    <t>SCBCS025</t>
  </si>
  <si>
    <t>SUNDARARAMAN R</t>
  </si>
  <si>
    <t>SCBCS028</t>
  </si>
  <si>
    <t>SIVANANDHAN S</t>
  </si>
  <si>
    <t>SCBCS031</t>
  </si>
  <si>
    <t>SARVAMANGAL</t>
  </si>
  <si>
    <t>SCBCS032</t>
  </si>
  <si>
    <t>SUNDARARAJ R</t>
  </si>
  <si>
    <t>SCBCS033</t>
  </si>
  <si>
    <t>SRI SAPTHA KANYA YARN AGENCIES</t>
  </si>
  <si>
    <t>SCBCS035</t>
  </si>
  <si>
    <t>SKY LINKS</t>
  </si>
  <si>
    <t>SCBCS036</t>
  </si>
  <si>
    <t>K.P.SHAH</t>
  </si>
  <si>
    <t>SCBCS037</t>
  </si>
  <si>
    <t>SURAJ ENTERPRISES</t>
  </si>
  <si>
    <t>SCBCS038</t>
  </si>
  <si>
    <t>SURAABI ENTERPRISES</t>
  </si>
  <si>
    <t>SCBCS039</t>
  </si>
  <si>
    <t>SARAVANAN E</t>
  </si>
  <si>
    <t>SCBCS041</t>
  </si>
  <si>
    <t>SHREYAL SHAUNAK SHAH</t>
  </si>
  <si>
    <t>SCBCT005</t>
  </si>
  <si>
    <t>TEAM TEX YARN</t>
  </si>
  <si>
    <t>SCBCU001</t>
  </si>
  <si>
    <t>USHA TRADERS</t>
  </si>
  <si>
    <t>SCBCV001</t>
  </si>
  <si>
    <t>VINOD AND COMPANY</t>
  </si>
  <si>
    <t>SCBCV003</t>
  </si>
  <si>
    <t>VIVEKANANDA YARNS</t>
  </si>
  <si>
    <t>SCBCV005</t>
  </si>
  <si>
    <t>VIKAS D ZAVERI(HUF)</t>
  </si>
  <si>
    <t>SCBCV006</t>
  </si>
  <si>
    <t>VELUSAMY S</t>
  </si>
  <si>
    <t>SCHPA002</t>
  </si>
  <si>
    <t>SCHPD002</t>
  </si>
  <si>
    <t>DINESH D MEHTA</t>
  </si>
  <si>
    <t>SCHPJ002</t>
  </si>
  <si>
    <t>JITENDRA KUMAR R SHETH</t>
  </si>
  <si>
    <t>SCHPS003</t>
  </si>
  <si>
    <t>SARASWATHI MILLS</t>
  </si>
  <si>
    <t>SCHPV001</t>
  </si>
  <si>
    <t>VISWABHARATHI SPG MILLS P LTD</t>
  </si>
  <si>
    <t>SCPPG003</t>
  </si>
  <si>
    <t>GOKUL TEXTILES</t>
  </si>
  <si>
    <t>SCPPM002</t>
  </si>
  <si>
    <t>MEERA TEX</t>
  </si>
  <si>
    <t>SCPPM003</t>
  </si>
  <si>
    <t>M.D. TEXTILES</t>
  </si>
  <si>
    <t>SCPPP013</t>
  </si>
  <si>
    <t>P.M.TEXTILES</t>
  </si>
  <si>
    <t>SCPPS056</t>
  </si>
  <si>
    <t>SRI ARULMURUGAN TEXTILES</t>
  </si>
  <si>
    <t>SCPPS064</t>
  </si>
  <si>
    <t>SANTHOSH TWISTING (ANNUR)</t>
  </si>
  <si>
    <t>SCPPS070</t>
  </si>
  <si>
    <t>SRI AYYANAR TEXTILES</t>
  </si>
  <si>
    <t>SCPPS075</t>
  </si>
  <si>
    <t>SRI AMMAN TEX</t>
  </si>
  <si>
    <t>SCRMA009</t>
  </si>
  <si>
    <t>ASHOKA COTTON CO</t>
  </si>
  <si>
    <t>SCRMA015</t>
  </si>
  <si>
    <t>SCRMA019</t>
  </si>
  <si>
    <t>AGROHA FIBRES</t>
  </si>
  <si>
    <t>SCRMB001</t>
  </si>
  <si>
    <t>BANKATLAL BOOB COTTONS(P) LTD</t>
  </si>
  <si>
    <t>SCRMB003</t>
  </si>
  <si>
    <t>BHADRESH TRADING CORPORATION</t>
  </si>
  <si>
    <t>SCRMB005</t>
  </si>
  <si>
    <t>BHAVANI ENTERPRISES</t>
  </si>
  <si>
    <t>SCRMB007</t>
  </si>
  <si>
    <t>BHUPATHI PRAKASHAM</t>
  </si>
  <si>
    <t>SCRMB011</t>
  </si>
  <si>
    <t>BHAGWAN COTTON GINNERS (P) LTD</t>
  </si>
  <si>
    <t>SCRMG001</t>
  </si>
  <si>
    <t>GLINT EXIM LTD.,</t>
  </si>
  <si>
    <t>SCRMK007</t>
  </si>
  <si>
    <t>K.K.IMPEX</t>
  </si>
  <si>
    <t>SCRMK017</t>
  </si>
  <si>
    <t>KARTHIK COTTON CORPORATION</t>
  </si>
  <si>
    <t>SCRML004</t>
  </si>
  <si>
    <t>L.B.COTTONS</t>
  </si>
  <si>
    <t>SCRML006</t>
  </si>
  <si>
    <t>LAKSHMI COTTON INDUSTRIES</t>
  </si>
  <si>
    <t>SCRMP003</t>
  </si>
  <si>
    <t>PERIYANAYAKI AMMAN TRADERS</t>
  </si>
  <si>
    <t>SCRMR004</t>
  </si>
  <si>
    <t>RAGHURAJ INDUSTRIES PRIVATE LTD</t>
  </si>
  <si>
    <t>SCRMS004</t>
  </si>
  <si>
    <t>SHEETAL COTFIBRE</t>
  </si>
  <si>
    <t>SCRMS006</t>
  </si>
  <si>
    <t>SHEETAL COTTON TRADERSS</t>
  </si>
  <si>
    <t>SCRMS009</t>
  </si>
  <si>
    <t>SHASHANDEV COTTON CO</t>
  </si>
  <si>
    <t>SRINIDHI INDUSTRIES LTD</t>
  </si>
  <si>
    <t>SCRMS018</t>
  </si>
  <si>
    <t>SOHAM COTTON</t>
  </si>
  <si>
    <t>SCRMS028</t>
  </si>
  <si>
    <t>SWATHY PROCESSORS LIMITED.,NETTERI</t>
  </si>
  <si>
    <t>SCRMS044</t>
  </si>
  <si>
    <t>SHEETAL PRATISHTHAN</t>
  </si>
  <si>
    <t>SCRMS055</t>
  </si>
  <si>
    <t>SRI SUDHA TRADERS</t>
  </si>
  <si>
    <t>SCRMS058</t>
  </si>
  <si>
    <t>SRI VENKATA RAMANA COTTON MILLS</t>
  </si>
  <si>
    <t>SCRMS066</t>
  </si>
  <si>
    <t>SRI MUNIPACHAIYAPPAN TEXTILES(P) LTD</t>
  </si>
  <si>
    <t>SCRMS086</t>
  </si>
  <si>
    <t>SRI LAKSHMI COTTON TRADERS</t>
  </si>
  <si>
    <t>SCRMS100</t>
  </si>
  <si>
    <t>SRI DEEPA TRADING CO</t>
  </si>
  <si>
    <t>SCRMS106</t>
  </si>
  <si>
    <t>SRI ANJANEYA COTTONS</t>
  </si>
  <si>
    <t>SCRMS107</t>
  </si>
  <si>
    <t>SAMEEP FABRICS PVT LTD</t>
  </si>
  <si>
    <t>SCRMS111</t>
  </si>
  <si>
    <t>SHREE RAJESH PRESSING FACTORY</t>
  </si>
  <si>
    <t>SCRMS112</t>
  </si>
  <si>
    <t>SRI RAMAKRISHNA YARN CARRIERS LTD CBE</t>
  </si>
  <si>
    <t>SCRMT022</t>
  </si>
  <si>
    <t>TIRUPATHI TEXTILES</t>
  </si>
  <si>
    <t>SCRMV011</t>
  </si>
  <si>
    <t>VIJAYALAXMI COTTON TRADERS</t>
  </si>
  <si>
    <t>SCRMV012</t>
  </si>
  <si>
    <t>VENKATA SAI KRISHNA COTTON TRADES</t>
  </si>
  <si>
    <t>SCRMV018</t>
  </si>
  <si>
    <t>VENKATA SAI KRISHNA COTTON TRADERS</t>
  </si>
  <si>
    <t>SCRMW001</t>
  </si>
  <si>
    <t>WHITEGOLD FIBRES PVT LTD</t>
  </si>
  <si>
    <t>SCSCS003</t>
  </si>
  <si>
    <t>SRI RAMAKRISHNA YARN CARRIERS LTD, LUBE</t>
  </si>
  <si>
    <t>SCSIB002</t>
  </si>
  <si>
    <t>BRINDA INDUSTRIAL</t>
  </si>
  <si>
    <t>SCSIE001</t>
  </si>
  <si>
    <t>ESBEE INDUSTRIES</t>
  </si>
  <si>
    <t>SCSIG001</t>
  </si>
  <si>
    <t>GOODLUCK PAKKS</t>
  </si>
  <si>
    <t>SCSIH001</t>
  </si>
  <si>
    <t>HI-TECH PAPER TUBES</t>
  </si>
  <si>
    <t>SCSIK001</t>
  </si>
  <si>
    <t>KASTHURI PACKAGINGS</t>
  </si>
  <si>
    <t>SCSIL001</t>
  </si>
  <si>
    <t>LAKSHMI PACKAGES</t>
  </si>
  <si>
    <t>SCSIM001</t>
  </si>
  <si>
    <t>MOTOR ENGINEERING INDUSTRIES</t>
  </si>
  <si>
    <t>SCSIO002</t>
  </si>
  <si>
    <t>OTTAJEE PLASTICS</t>
  </si>
  <si>
    <t>SCSIP001</t>
  </si>
  <si>
    <t>PIONEER ENGINEERING WORKS</t>
  </si>
  <si>
    <t>SCSIR001</t>
  </si>
  <si>
    <t>RAJLAKSHMI CONES</t>
  </si>
  <si>
    <t>SCSIR002</t>
  </si>
  <si>
    <t>R S INDUSTRIES</t>
  </si>
  <si>
    <t>SCSIS001</t>
  </si>
  <si>
    <t>SHINER SACKS PRIVATE LIMITED</t>
  </si>
  <si>
    <t>SCSIT001</t>
  </si>
  <si>
    <t>TEXCONES</t>
  </si>
  <si>
    <t>SCSPA003</t>
  </si>
  <si>
    <t>APPLIED AUTOMATION SYS P LTD</t>
  </si>
  <si>
    <t>SCSPA005</t>
  </si>
  <si>
    <t>ANUPAM ELECTRONICS</t>
  </si>
  <si>
    <t>SCSPA007</t>
  </si>
  <si>
    <t>ASWATHI MINERALS P LTD</t>
  </si>
  <si>
    <t>SCSPA009</t>
  </si>
  <si>
    <t>AP MUTHUKRISHNAN</t>
  </si>
  <si>
    <t>SCSPA010</t>
  </si>
  <si>
    <t>A PERA NAIDU &amp; SON</t>
  </si>
  <si>
    <t>SCSPA011</t>
  </si>
  <si>
    <t>APS AGENCIES</t>
  </si>
  <si>
    <t>SCSPA021</t>
  </si>
  <si>
    <t>ASIA INFORMATION SYSTEMS</t>
  </si>
  <si>
    <t>SCSPA024</t>
  </si>
  <si>
    <t>ASWIN AGENCIES</t>
  </si>
  <si>
    <t>SCSPA026</t>
  </si>
  <si>
    <t>AIR CARE ASSOCIATES</t>
  </si>
  <si>
    <t>SCSPA027</t>
  </si>
  <si>
    <t>APPLIED CONTROL EQUIPMENT SYSTEM</t>
  </si>
  <si>
    <t>SCSPA034</t>
  </si>
  <si>
    <t>ALPHA TEX-TECH COIMBATORE P LTD</t>
  </si>
  <si>
    <t>SCSPA044</t>
  </si>
  <si>
    <t>ABCO BEARINGS</t>
  </si>
  <si>
    <t>SCSPA046</t>
  </si>
  <si>
    <t>A M S EQUIPMENTS</t>
  </si>
  <si>
    <t>SCSPA047</t>
  </si>
  <si>
    <t>ARINI TRADERS</t>
  </si>
  <si>
    <t>SCSPA049</t>
  </si>
  <si>
    <t>AMMA PACKAGING</t>
  </si>
  <si>
    <t>SCSPB005</t>
  </si>
  <si>
    <t>BATTERY POINT (INDIA) PVT LTD</t>
  </si>
  <si>
    <t>SCSPB006</t>
  </si>
  <si>
    <t>BENGAL POLY SACKS</t>
  </si>
  <si>
    <t>SCSPB008</t>
  </si>
  <si>
    <t>BALAJI SALES CORPORATION</t>
  </si>
  <si>
    <t>SCSPC012</t>
  </si>
  <si>
    <t>C S ENTERPRISES</t>
  </si>
  <si>
    <t>SCSPC014</t>
  </si>
  <si>
    <t>COIMBATORE AERODYNE PRIVATE LIMITED</t>
  </si>
  <si>
    <t>SCSPC023</t>
  </si>
  <si>
    <t>CITY ELECTRICAL CORPORATION</t>
  </si>
  <si>
    <t>SCSPD002</t>
  </si>
  <si>
    <t>DHEER ENGINEERING COMPANY</t>
  </si>
  <si>
    <t>SCSPE003</t>
  </si>
  <si>
    <t>ELGI ELECTRIC AND INDUSTRIES LTD</t>
  </si>
  <si>
    <t>SCSPE004</t>
  </si>
  <si>
    <t>EXEMPLAR ENGINEERING PVT LTD</t>
  </si>
  <si>
    <t>SCSPE018</t>
  </si>
  <si>
    <t>ELECTROWIN TRANSFORMERS</t>
  </si>
  <si>
    <t>SCSPF001</t>
  </si>
  <si>
    <t>FLUID ZONE</t>
  </si>
  <si>
    <t>SCSPG016</t>
  </si>
  <si>
    <t>GOPINATH TRADERS</t>
  </si>
  <si>
    <t>SCSPG017</t>
  </si>
  <si>
    <t>GEM TEX ENGINEERS</t>
  </si>
  <si>
    <t>SCSPG019</t>
  </si>
  <si>
    <t>GYRATING ASSOCIATES</t>
  </si>
  <si>
    <t>SCSPG024</t>
  </si>
  <si>
    <t>GOVARDHANA CARBON AND ELECTRICALS</t>
  </si>
  <si>
    <t>SCSPG030</t>
  </si>
  <si>
    <t>GHANISKAA POLYMERS</t>
  </si>
  <si>
    <t>SCSPG031</t>
  </si>
  <si>
    <t>SCSPH006</t>
  </si>
  <si>
    <t>HIGHTEX SOLUTION</t>
  </si>
  <si>
    <t>SCSPI006</t>
  </si>
  <si>
    <t>INDUSTRIAL ENGINEERING STORES</t>
  </si>
  <si>
    <t>SCSPI013</t>
  </si>
  <si>
    <t>I V METALORE AGENCIES</t>
  </si>
  <si>
    <t>SCSPJ011</t>
  </si>
  <si>
    <t>JAI MATHA DHI POLY PACKS</t>
  </si>
  <si>
    <t>SCSPK010</t>
  </si>
  <si>
    <t>KUMARESH INDUSTRIAL ELECTRONIC</t>
  </si>
  <si>
    <t>SCSPK015</t>
  </si>
  <si>
    <t>KRISHNACONE</t>
  </si>
  <si>
    <t>SCSPK023</t>
  </si>
  <si>
    <t>STORES CASH PURCHASE(K VENKATARAMANA)</t>
  </si>
  <si>
    <t>SCSPL002</t>
  </si>
  <si>
    <t>LCC MANUFACTURING CO PVT LTD</t>
  </si>
  <si>
    <t>SCSPL006</t>
  </si>
  <si>
    <t>SCSPL018</t>
  </si>
  <si>
    <t>LEENA ENTERPRISES</t>
  </si>
  <si>
    <t>SCSPL019</t>
  </si>
  <si>
    <t>LENA AGENCIES</t>
  </si>
  <si>
    <t>SCSPL021</t>
  </si>
  <si>
    <t>LOGANATHAN ENTERPRISES</t>
  </si>
  <si>
    <t>SCSPM006</t>
  </si>
  <si>
    <t>MANIRANJAN DIESEL SALES &amp; SERVICE P LTD</t>
  </si>
  <si>
    <t>SCSPM022</t>
  </si>
  <si>
    <t>MULTI TECH</t>
  </si>
  <si>
    <t>SCSPM023</t>
  </si>
  <si>
    <t>MULTI TECH ASSOCIATES</t>
  </si>
  <si>
    <t>SCSPM031</t>
  </si>
  <si>
    <t>STORES CASH PURCHASE (M RAMASAMY)</t>
  </si>
  <si>
    <t>SCSPM034</t>
  </si>
  <si>
    <t>MECHINIKS COMPRESSORS AND SPARES P LTD</t>
  </si>
  <si>
    <t>SCSPM038</t>
  </si>
  <si>
    <t>MEGASTAR BELTING</t>
  </si>
  <si>
    <t>SCSPN003</t>
  </si>
  <si>
    <t>NEURON ELECTRONICS SYSTEMS (P) LTD</t>
  </si>
  <si>
    <t>SCSPN005</t>
  </si>
  <si>
    <t>NOBLE HARDWARE &amp; MACHINERY MART</t>
  </si>
  <si>
    <t>SCSPN007</t>
  </si>
  <si>
    <t>NISHA ELECTRICALS</t>
  </si>
  <si>
    <t>SCSPN012</t>
  </si>
  <si>
    <t>NALLAMALA POLYTHENE BAGS (P) LTD</t>
  </si>
  <si>
    <t>SCSPN013</t>
  </si>
  <si>
    <t>NAREN TEXTILE ENGINEERS INDIA PVT LTD</t>
  </si>
  <si>
    <t>SCSPN018</t>
  </si>
  <si>
    <t>NESTLING TECHNOCRAT</t>
  </si>
  <si>
    <t>SCSPN019</t>
  </si>
  <si>
    <t>NATIONAL PAPER INDUSTRIES</t>
  </si>
  <si>
    <t>SCSPN020</t>
  </si>
  <si>
    <t>NEO WEIGH TECH PVT LTD</t>
  </si>
  <si>
    <t>SCSPO003</t>
  </si>
  <si>
    <t>ORBIT TEXTILE ENGINEERS P LTD</t>
  </si>
  <si>
    <t>SCSPP007</t>
  </si>
  <si>
    <t>PLASTIC EXTRUSIONS</t>
  </si>
  <si>
    <t>SCSPP015</t>
  </si>
  <si>
    <t>PRAVASI INDUSTRIAL CORPORATION</t>
  </si>
  <si>
    <t>SCSPP031</t>
  </si>
  <si>
    <t>PEEYESPE ENGINEERING CORPORATION</t>
  </si>
  <si>
    <t>SCSPP036</t>
  </si>
  <si>
    <t>POWEREX SAFETY SERVICES</t>
  </si>
  <si>
    <t>SCSPP040</t>
  </si>
  <si>
    <t>PARTH CORPORATION</t>
  </si>
  <si>
    <t>SCSPP044</t>
  </si>
  <si>
    <t>PROCON CONTROLS</t>
  </si>
  <si>
    <t>SCSPQ001</t>
  </si>
  <si>
    <t>Q MARK ASSOCIATES</t>
  </si>
  <si>
    <t>SCSPR001</t>
  </si>
  <si>
    <t>RAJA ELECTRICALS</t>
  </si>
  <si>
    <t>SCSPR003</t>
  </si>
  <si>
    <t>RANSONS BRUSH AND ALLIED INDUSTRIES</t>
  </si>
  <si>
    <t>SCSPR004</t>
  </si>
  <si>
    <t>RAMM ENTERPRISES</t>
  </si>
  <si>
    <t>SCSPR015</t>
  </si>
  <si>
    <t>RAMSIVE PNEUMATICS P LTD</t>
  </si>
  <si>
    <t>SCSPR017</t>
  </si>
  <si>
    <t>ROHNE TRADERS</t>
  </si>
  <si>
    <t>SCSPR019</t>
  </si>
  <si>
    <t>RASAYAN VYAPAR</t>
  </si>
  <si>
    <t>SCSPR021</t>
  </si>
  <si>
    <t>RUKMANI OFFSET PRESS</t>
  </si>
  <si>
    <t>SCSPS001</t>
  </si>
  <si>
    <t>SUPREME ARTS CRAFTS</t>
  </si>
  <si>
    <t>SCSPS004</t>
  </si>
  <si>
    <t>SRI SABARI FABRICATORS</t>
  </si>
  <si>
    <t>SCSPS005</t>
  </si>
  <si>
    <t>SREE AGENCIES</t>
  </si>
  <si>
    <t>SCSPS008</t>
  </si>
  <si>
    <t>SOVEREIGN ELECTRO ELECTRONICS</t>
  </si>
  <si>
    <t>SCSPS013</t>
  </si>
  <si>
    <t>SHANTHI GEARS LIMITED</t>
  </si>
  <si>
    <t>SCSPS030</t>
  </si>
  <si>
    <t>S K ASSOCIATES</t>
  </si>
  <si>
    <t>SCSPS039</t>
  </si>
  <si>
    <t>SPINWELL</t>
  </si>
  <si>
    <t>SCSPS042</t>
  </si>
  <si>
    <t>SRI RAMAKRISHNA DYEING WORKS</t>
  </si>
  <si>
    <t>SCSPS050</t>
  </si>
  <si>
    <t>SOVEREIGN SYNDICATE</t>
  </si>
  <si>
    <t>SCSPS051</t>
  </si>
  <si>
    <t>SHIVARAM SALES AGENCIES</t>
  </si>
  <si>
    <t>SCSPS058</t>
  </si>
  <si>
    <t>SRI SABARI TRADERS</t>
  </si>
  <si>
    <t>SCSPS059</t>
  </si>
  <si>
    <t>SRI SRINIVASA TRADERS</t>
  </si>
  <si>
    <t>SCSPS067</t>
  </si>
  <si>
    <t>SUBHAM TRADERS</t>
  </si>
  <si>
    <t>SCSPS068</t>
  </si>
  <si>
    <t>SUPRAJA ENTERPRISES</t>
  </si>
  <si>
    <t>SCSPS070</t>
  </si>
  <si>
    <t>SUJATHA ELECTRONICS</t>
  </si>
  <si>
    <t>SCSPS072</t>
  </si>
  <si>
    <t>SUBHASHINI TRADERS</t>
  </si>
  <si>
    <t>SCSPS079</t>
  </si>
  <si>
    <t>SUMANLAL J SHAH SONS (P) LTD</t>
  </si>
  <si>
    <t>SCSPS093</t>
  </si>
  <si>
    <t>SRI GEM SERVICE AND SPARES</t>
  </si>
  <si>
    <t>SCSPS094</t>
  </si>
  <si>
    <t>STANDARD CARTONS</t>
  </si>
  <si>
    <t>SCSPS095</t>
  </si>
  <si>
    <t>SRI SAI PLASTIC INDUSTRIES</t>
  </si>
  <si>
    <t>SCSPS102</t>
  </si>
  <si>
    <t>SIVAKUMAR AND BROS</t>
  </si>
  <si>
    <t>SHANTHI ELECTRICAL</t>
  </si>
  <si>
    <t>SCSPS107</t>
  </si>
  <si>
    <t>SRI SIVAKUMAR PRINTERS</t>
  </si>
  <si>
    <t>SCSPS108</t>
  </si>
  <si>
    <t>SIMHHA SALES</t>
  </si>
  <si>
    <t>SCSPS123</t>
  </si>
  <si>
    <t>SABOLS MARKETING INDIA PRIVATE LIMITED</t>
  </si>
  <si>
    <t>SCSPS127</t>
  </si>
  <si>
    <t>SPINIATURE SYSTEMS</t>
  </si>
  <si>
    <t>SCSPS129</t>
  </si>
  <si>
    <t>SPINWELL MACHINERY SALES AND SERV P L</t>
  </si>
  <si>
    <t>SCSPS137</t>
  </si>
  <si>
    <t>SHA SUMERMAL MISRIMAL</t>
  </si>
  <si>
    <t>SCSPS138</t>
  </si>
  <si>
    <t>S G ENGINEERS AND SERVICES</t>
  </si>
  <si>
    <t>SCSPS142</t>
  </si>
  <si>
    <t>SELVALAKSHMI PACKS</t>
  </si>
  <si>
    <t>SCSPS143</t>
  </si>
  <si>
    <t>SRI BALAJI TEXTILE SPARES AND SERVICES</t>
  </si>
  <si>
    <t>SCSPS147</t>
  </si>
  <si>
    <t>SAI SHREE WOVEN SACKS</t>
  </si>
  <si>
    <t>SCSPS148</t>
  </si>
  <si>
    <t>SARVODAYA ELECTRICALS</t>
  </si>
  <si>
    <t>SCSPS152</t>
  </si>
  <si>
    <t>SIVAMURUGAN COMPRESSORS</t>
  </si>
  <si>
    <t>SCSPS154</t>
  </si>
  <si>
    <t>SRI RANGA ELECTRICAL AND HARDWARES</t>
  </si>
  <si>
    <t>SCSPS155</t>
  </si>
  <si>
    <t>SRI NITHI ENTERPRISES</t>
  </si>
  <si>
    <t>SCSPT003</t>
  </si>
  <si>
    <t>TECHNOCRATS</t>
  </si>
  <si>
    <t>SCSPT004</t>
  </si>
  <si>
    <t>TEXO ENGINEERING AND AGENCIES</t>
  </si>
  <si>
    <t>SCSPT012</t>
  </si>
  <si>
    <t>TECHNO MECHTRON PVT LTD</t>
  </si>
  <si>
    <t>SCSPT014</t>
  </si>
  <si>
    <t>TECHNO MACHINE TOOLS</t>
  </si>
  <si>
    <t>SCSPT015</t>
  </si>
  <si>
    <t>THE PRECISION SCIENTIFIC CO (CBE)</t>
  </si>
  <si>
    <t>SCSPU001</t>
  </si>
  <si>
    <t>UNIROLS AIRTEX</t>
  </si>
  <si>
    <t>SCSPU012</t>
  </si>
  <si>
    <t>USTER TECHNOLOGIES (I) PVT LTD</t>
  </si>
  <si>
    <t>SCSPU013</t>
  </si>
  <si>
    <t>UNIVERSEL SYSTEMS</t>
  </si>
  <si>
    <t>SCSPU017</t>
  </si>
  <si>
    <t>UNITED PACKAGES</t>
  </si>
  <si>
    <t>SCSPV007</t>
  </si>
  <si>
    <t>VETRI ENGINEERS</t>
  </si>
  <si>
    <t>SCSPV018</t>
  </si>
  <si>
    <t>VISAAL PRINT PAK</t>
  </si>
  <si>
    <t>SCSPV029</t>
  </si>
  <si>
    <t>VOLCON SYSTEMS AND SERVICES</t>
  </si>
  <si>
    <t>SCSPV032</t>
  </si>
  <si>
    <t>VISHNU CORPORATION</t>
  </si>
  <si>
    <t>SCSPV038</t>
  </si>
  <si>
    <t>VETAL TEXTILES AND ELECTRONICS PVT LTD</t>
  </si>
  <si>
    <t>SCSPV044</t>
  </si>
  <si>
    <t>VIJAY TEXS SPARES (CBE)</t>
  </si>
  <si>
    <t>SCSPV045</t>
  </si>
  <si>
    <t>VARUNAS HEAVENLY WATER</t>
  </si>
  <si>
    <t>SCSPW002</t>
  </si>
  <si>
    <t>WIN TEX ENGINEERS</t>
  </si>
  <si>
    <t>SCSPY001</t>
  </si>
  <si>
    <t>YESPEE ASSOCIATES</t>
  </si>
  <si>
    <t>Current Liabilities</t>
  </si>
  <si>
    <t>OTHER NON-CURRENT LIABILITIES</t>
  </si>
  <si>
    <t>ARIHANT GRIHA LTD</t>
  </si>
  <si>
    <t>SRIVARI  INFRASTRUCTURE PVT LTD</t>
  </si>
  <si>
    <t>OTHER CURRENT LIABILITIES</t>
  </si>
  <si>
    <t>A.SHANMUGAM</t>
  </si>
  <si>
    <t>S.PALANIAPPAN</t>
  </si>
  <si>
    <t>K.CHINNAIYAN</t>
  </si>
  <si>
    <t>R.JAGANATHAN</t>
  </si>
  <si>
    <t>K.PRABHU</t>
  </si>
  <si>
    <t>E13006</t>
  </si>
  <si>
    <t>LIABILITIES FOR EXPENSES</t>
  </si>
  <si>
    <t>INTERIUM RELIEF AND LUMSUM COLLECTIONS</t>
  </si>
  <si>
    <t>VIOMSHI TEXTILES PVT LTD.,</t>
  </si>
  <si>
    <t>AFTER NOON</t>
  </si>
  <si>
    <t>BLUE DART EXPRESS  LTD</t>
  </si>
  <si>
    <t>FAITHFULL SECURITY SERVICES</t>
  </si>
  <si>
    <t>KING AND PARTRIDGE</t>
  </si>
  <si>
    <t>MEENA RAMJI</t>
  </si>
  <si>
    <t>MS JAGANNATHAN AND VISVANATHAN</t>
  </si>
  <si>
    <t>SENIOR ACCTS OFFICER (OPNS) TIRUPATHI</t>
  </si>
  <si>
    <t>THE SUPERINTENDING ENGR,GOBI ELEC DBN CIRCLE</t>
  </si>
  <si>
    <t>S K D C CONSULTANTS LTD</t>
  </si>
  <si>
    <t>SALARY PMTS BY CASH</t>
  </si>
  <si>
    <t>SRI SAI SECURITY SERVICES</t>
  </si>
  <si>
    <t>SASIREKHA VENKATESH  - INTERNAL AUDITOR</t>
  </si>
  <si>
    <t>V.BALAKRISHNAN (ADVOCATE)</t>
  </si>
  <si>
    <t>SASI ADVERTISING P.LTD</t>
  </si>
  <si>
    <t>SALARY PAYMENTS BY CHEQ</t>
  </si>
  <si>
    <t>P R RAMAKRISHNAN</t>
  </si>
  <si>
    <t>SUHAS L GADDAM</t>
  </si>
  <si>
    <t>S MAHADEVAN AND CO</t>
  </si>
  <si>
    <t>M R L NARASIMHA</t>
  </si>
  <si>
    <t>SRI JAYAM LORRY TRANSPORT CO</t>
  </si>
  <si>
    <t>13006077</t>
  </si>
  <si>
    <t>R VENKATESAN - ADVOCATE</t>
  </si>
  <si>
    <t>RAMANI  AND SHANKAR</t>
  </si>
  <si>
    <t>13006094</t>
  </si>
  <si>
    <t>THE PROFESSIONAL COURIERS</t>
  </si>
  <si>
    <t>THE COIMBATORE GOLF CLUB</t>
  </si>
  <si>
    <t>TEXSAVVY SOLUTIONS LLP</t>
  </si>
  <si>
    <t>M POWER MANAGEMENT SERVICES</t>
  </si>
  <si>
    <t>BALAJI SPINNING AND WEAVING MILL</t>
  </si>
  <si>
    <t>GLOBAL ENERGY P VT LTD</t>
  </si>
  <si>
    <t>SRI NAGA NANTHANA  MILLS LTD</t>
  </si>
  <si>
    <t>VST AND SONS PVT LIMITED</t>
  </si>
  <si>
    <t>13006284</t>
  </si>
  <si>
    <t>P.V.SHAH</t>
  </si>
  <si>
    <t>SCPPS043</t>
  </si>
  <si>
    <t>SRI JAGANATHA TEXTILES- PALLADAM</t>
  </si>
  <si>
    <t>E13011</t>
  </si>
  <si>
    <t>LIABILITIES FOR OTHER FINANCE</t>
  </si>
  <si>
    <t>SD05P100</t>
  </si>
  <si>
    <t>P G TIRUVENKATAM</t>
  </si>
  <si>
    <t>BANK OF BARODA CURRENT A/C NO.05470200001071</t>
  </si>
  <si>
    <t>INDIAN BANK- CHENNAI C.A. NO.432522867</t>
  </si>
  <si>
    <t>ASSISI GARMENTS</t>
  </si>
  <si>
    <t>THE SOUTHERN INDIA MILLS ASSOCIATION</t>
  </si>
  <si>
    <t>SREE GOPAL AND CO</t>
  </si>
  <si>
    <t>AGRI CO-OP BANK LOAN</t>
  </si>
  <si>
    <t>SRI BHAGAVATHY TRADERS (RENT DEPOSIT)</t>
  </si>
  <si>
    <t>JC VALVES AND CONTROLS INDIA PVT LTD (RENT DEPOSIT)</t>
  </si>
  <si>
    <t>CHARITY - PURCHASE</t>
  </si>
  <si>
    <t>CHARITY - SALES</t>
  </si>
  <si>
    <t>ESI COLLECTION ADVANCE</t>
  </si>
  <si>
    <t>B .SULOCHANA</t>
  </si>
  <si>
    <t>THE  COMMISSIONER,CBE - CORPN</t>
  </si>
  <si>
    <t>HOUSING DEVELOPMENT FINANCE CORP.LTD</t>
  </si>
  <si>
    <t>LIFE INSURANCE CORP OF INDIA</t>
  </si>
  <si>
    <t>R D  AND D L (MAJOR HUF)</t>
  </si>
  <si>
    <t>I.T DEDN ON COMMISSION / BROKERAGE</t>
  </si>
  <si>
    <t>I.T DEDN ON CONTRACTS</t>
  </si>
  <si>
    <t>I.T DEDN ON WASTE/SCRAP</t>
  </si>
  <si>
    <t>I T DEDN ON PROFESSIONAL</t>
  </si>
  <si>
    <t>IT DEDN ON SALARIES</t>
  </si>
  <si>
    <t>IT DEDN ON TRADE DEPOSITS</t>
  </si>
  <si>
    <t>MILL COOLY WAGES R/O</t>
  </si>
  <si>
    <t>P F COLLN ADVANCE</t>
  </si>
  <si>
    <t>SRI JAGANATHA PERUMAL</t>
  </si>
  <si>
    <t>V SURESH PURCHASE A/C</t>
  </si>
  <si>
    <t>DEPUTY COMMERCIAL TAX OFFICER (PROF.TAX)</t>
  </si>
  <si>
    <t>GROUP SAVINGS LINKED INSURANCE</t>
  </si>
  <si>
    <t>NATIONAL TEXTILE CORP</t>
  </si>
  <si>
    <t>I T DEDN ON ADVT CONTRACTS</t>
  </si>
  <si>
    <t>R DORAISWAMI,INDL</t>
  </si>
  <si>
    <t>PF COLLECTIONS GENERAL</t>
  </si>
  <si>
    <t>TRANSIT INSURENCE PREMIUM COLLECTION</t>
  </si>
  <si>
    <t>L NAGASWARNA</t>
  </si>
  <si>
    <t>D RANGANAYAKIAMMAL</t>
  </si>
  <si>
    <t>13011063</t>
  </si>
  <si>
    <t>L SUHASINI</t>
  </si>
  <si>
    <t>L SWATHY</t>
  </si>
  <si>
    <t>UNION SUBSCRIPTION- AITUC</t>
  </si>
  <si>
    <t>STAFF TEA COLLECTION</t>
  </si>
  <si>
    <t>LABOUR WELFARE FUND COLLECTION ADVANCE</t>
  </si>
  <si>
    <t>I T DEDUCTED ON FD S</t>
  </si>
  <si>
    <t>13011089</t>
  </si>
  <si>
    <t>VAT COLLECTION  5%</t>
  </si>
  <si>
    <t>AMRAA ENTERPRISES</t>
  </si>
  <si>
    <t>RADHAKRISHNAN R - DIRECTOR</t>
  </si>
  <si>
    <t>HITECH TRADERS</t>
  </si>
  <si>
    <t>VAT COLLECTION @ 14.50%</t>
  </si>
  <si>
    <t>SRINIVASA  TRADERS</t>
  </si>
  <si>
    <t>RAVIS STEELS</t>
  </si>
  <si>
    <t>SANJANA ENTERPRISES</t>
  </si>
  <si>
    <t>SRI SUNDARAMUTHU TRADERS</t>
  </si>
  <si>
    <t>13011130</t>
  </si>
  <si>
    <t>RAMANI AUTOMOBILES PRIVATE LIMITED</t>
  </si>
  <si>
    <t>SD05A100</t>
  </si>
  <si>
    <t>SRI AKKAI TEXTILES</t>
  </si>
  <si>
    <t>SD05A101</t>
  </si>
  <si>
    <t>VINAYAGA ENTERPRISES</t>
  </si>
  <si>
    <t>SD05A102</t>
  </si>
  <si>
    <t>AMAR TEXTILES</t>
  </si>
  <si>
    <t>SD05AD01</t>
  </si>
  <si>
    <t>SRI KAMACHI YARN STORES</t>
  </si>
  <si>
    <t>SD05AD02</t>
  </si>
  <si>
    <t>THANGAM TEXTILES</t>
  </si>
  <si>
    <t>SD05AD03</t>
  </si>
  <si>
    <t>GIRI EXPORTS</t>
  </si>
  <si>
    <t>SD05AD05</t>
  </si>
  <si>
    <t>SONA TEXTILES</t>
  </si>
  <si>
    <t>SD05AD07</t>
  </si>
  <si>
    <t>SHARMILA TEXTILES</t>
  </si>
  <si>
    <t>SD05AD08</t>
  </si>
  <si>
    <t>SREE ANBURAJU TEXTILES</t>
  </si>
  <si>
    <t>SD05AD09</t>
  </si>
  <si>
    <t>BANNARI AMMAN TEXTILES</t>
  </si>
  <si>
    <t>SD05AD10</t>
  </si>
  <si>
    <t>GANESH TEXTILES</t>
  </si>
  <si>
    <t>SD05AD11</t>
  </si>
  <si>
    <t>SABARI TEXTILES</t>
  </si>
  <si>
    <t>SD05AD12</t>
  </si>
  <si>
    <t>SRI VELAVAN TEXTILES</t>
  </si>
  <si>
    <t>SD05AD14</t>
  </si>
  <si>
    <t>RUBY TEXTILES</t>
  </si>
  <si>
    <t>SD05AD15</t>
  </si>
  <si>
    <t>THAMARAI SELVI YARN STORE</t>
  </si>
  <si>
    <t>SD05AD17</t>
  </si>
  <si>
    <t>BHARATH TEXTILES</t>
  </si>
  <si>
    <t>SD05AD21</t>
  </si>
  <si>
    <t>RAMASAMY YARN CORPORATION</t>
  </si>
  <si>
    <t>SD05AD26</t>
  </si>
  <si>
    <t>VISHNU PRIYA TEXTILES</t>
  </si>
  <si>
    <t>SD05AD27</t>
  </si>
  <si>
    <t>GANESHA CORPORATION</t>
  </si>
  <si>
    <t>SD05AD29</t>
  </si>
  <si>
    <t>B.P.IMPEX</t>
  </si>
  <si>
    <t>SD05AD30</t>
  </si>
  <si>
    <t>SRI BALAJI APPERALS</t>
  </si>
  <si>
    <t>SD05AD31</t>
  </si>
  <si>
    <t>T.P.SENGOTTUVELU MUDALIYAR AND CO</t>
  </si>
  <si>
    <t>SD05AD32</t>
  </si>
  <si>
    <t>VINAYAGA TEXTILES</t>
  </si>
  <si>
    <t>SD05AD36</t>
  </si>
  <si>
    <t>SRI RAJALAKSHMI FASHION</t>
  </si>
  <si>
    <t>SD05AD37</t>
  </si>
  <si>
    <t>THIRUMALAI YARNS</t>
  </si>
  <si>
    <t>SD05AD40</t>
  </si>
  <si>
    <t>SRI PONDURANGA TEXTILES</t>
  </si>
  <si>
    <t>SD05AD42</t>
  </si>
  <si>
    <t>SRI MEENAKSHI TEX</t>
  </si>
  <si>
    <t>SD05AD45</t>
  </si>
  <si>
    <t>P S TAMILMANI   WEAVER</t>
  </si>
  <si>
    <t>SD05AD47</t>
  </si>
  <si>
    <t>J. JAYARAM   WEAVER</t>
  </si>
  <si>
    <t>SD05AD48</t>
  </si>
  <si>
    <t>SRI SUBHAM TEXTILES</t>
  </si>
  <si>
    <t>SD05AD49</t>
  </si>
  <si>
    <t>SREE RAM TEXTILES</t>
  </si>
  <si>
    <t>SD05AD50</t>
  </si>
  <si>
    <t>SREE KUMAR CORPORATION</t>
  </si>
  <si>
    <t>SD05AD53</t>
  </si>
  <si>
    <t>T.A.VASU    WEAVER</t>
  </si>
  <si>
    <t>SD05AD54</t>
  </si>
  <si>
    <t>SRI VELMURUGAN TEXTILES</t>
  </si>
  <si>
    <t>SD05AD55</t>
  </si>
  <si>
    <t>SRINIVASA YARN TRADERS</t>
  </si>
  <si>
    <t>SD05AD63</t>
  </si>
  <si>
    <t>SREE SARATHI TEXTILE</t>
  </si>
  <si>
    <t>SD05AD65</t>
  </si>
  <si>
    <t>VIMAL TEXTILES</t>
  </si>
  <si>
    <t>SD05AD83</t>
  </si>
  <si>
    <t>SRI KANNA AND CO</t>
  </si>
  <si>
    <t>SD05AD85</t>
  </si>
  <si>
    <t>SENPAGAM TEXTILES</t>
  </si>
  <si>
    <t>SD05AD86</t>
  </si>
  <si>
    <t>SRI MANJUNATHAN TEXTILES</t>
  </si>
  <si>
    <t>SD05AD88</t>
  </si>
  <si>
    <t>J R S TEX</t>
  </si>
  <si>
    <t>SD05AD90</t>
  </si>
  <si>
    <t>G TEX</t>
  </si>
  <si>
    <t>SD05AD91</t>
  </si>
  <si>
    <t>AMAR PREM TEX</t>
  </si>
  <si>
    <t>SD05AD92</t>
  </si>
  <si>
    <t>GOKUL EXPORTS</t>
  </si>
  <si>
    <t>SD05AD95</t>
  </si>
  <si>
    <t>I V TEX</t>
  </si>
  <si>
    <t>SD05AD96</t>
  </si>
  <si>
    <t>SUBBURAM AND CO</t>
  </si>
  <si>
    <t>SD05AD97</t>
  </si>
  <si>
    <t>SRI LALITHA TEX</t>
  </si>
  <si>
    <t>SD05AD98</t>
  </si>
  <si>
    <t>AVON EXPORT</t>
  </si>
  <si>
    <t>SD05AD99</t>
  </si>
  <si>
    <t>AMBI TEX</t>
  </si>
  <si>
    <t>SDO3E007</t>
  </si>
  <si>
    <t>EVEREST KNITS</t>
  </si>
  <si>
    <t>SDYCE002</t>
  </si>
  <si>
    <t>ESSEL INDUSTRIES</t>
  </si>
  <si>
    <t>SDYCJ001</t>
  </si>
  <si>
    <t>J P TEXTILES - CON</t>
  </si>
  <si>
    <t>SDYCK002</t>
  </si>
  <si>
    <t>SDYCM017</t>
  </si>
  <si>
    <t>SDYCR017</t>
  </si>
  <si>
    <t>RAMESH TRADING CO</t>
  </si>
  <si>
    <t>SDYDS120</t>
  </si>
  <si>
    <t>SRI RAMAKRISHNA MILLS (CBE) LTD - TIRUPUR</t>
  </si>
  <si>
    <t>SDYMS144</t>
  </si>
  <si>
    <t>SRI VISHNU TEXTILES -EXPORTS (M-EXP)</t>
  </si>
  <si>
    <t>SDYSL010</t>
  </si>
  <si>
    <t>LOTUS MILLS</t>
  </si>
  <si>
    <t>SDYSM005</t>
  </si>
  <si>
    <t>M G PANDURANGA MUDALIAR WEAVER</t>
  </si>
  <si>
    <t>SDYSM025</t>
  </si>
  <si>
    <t>MANIKANDAN TEXTILES</t>
  </si>
  <si>
    <t>SDYSR037</t>
  </si>
  <si>
    <t>R.K.INDUSTRIES - IV</t>
  </si>
  <si>
    <t>SDYSS093</t>
  </si>
  <si>
    <t>SRI GOMATHY MILLS</t>
  </si>
  <si>
    <t>SDYSS255</t>
  </si>
  <si>
    <t>SRI VEL YARNS</t>
  </si>
  <si>
    <t>SDYSS267</t>
  </si>
  <si>
    <t>SRI MAHALAKSHMI TEXTILES</t>
  </si>
  <si>
    <t>SDYSS268</t>
  </si>
  <si>
    <t>SHANMUGA COTTON FABRICS</t>
  </si>
  <si>
    <t>SDYSS269</t>
  </si>
  <si>
    <t>SDYSV003</t>
  </si>
  <si>
    <t>V K IYAPPAN</t>
  </si>
  <si>
    <t>SDYSV023</t>
  </si>
  <si>
    <t>V S ARUMUGAM</t>
  </si>
  <si>
    <t>SDYSV061</t>
  </si>
  <si>
    <t>VISHAL COTTEX</t>
  </si>
  <si>
    <t>SDYWA057</t>
  </si>
  <si>
    <t>ANDAVAR TEXTILES</t>
  </si>
  <si>
    <t>SDYWA059</t>
  </si>
  <si>
    <t>ABBINAYASRI TEXTILES</t>
  </si>
  <si>
    <t>SDYWD006</t>
  </si>
  <si>
    <t>DURGA COTTON MILLS</t>
  </si>
  <si>
    <t>SDYWG004</t>
  </si>
  <si>
    <t>GENERAL HARDWASTE CO</t>
  </si>
  <si>
    <t>SDYWJ002</t>
  </si>
  <si>
    <t>JAI MARUTHI TEXTILES</t>
  </si>
  <si>
    <t>SDYWK005</t>
  </si>
  <si>
    <t>K G TRADERS</t>
  </si>
  <si>
    <t>SDYWK036</t>
  </si>
  <si>
    <t>K S SUBRAMANYA RAJA</t>
  </si>
  <si>
    <t>SDYWK042</t>
  </si>
  <si>
    <t>KAVERI COTTON TRADERS</t>
  </si>
  <si>
    <t>SDYWK044</t>
  </si>
  <si>
    <t>KIRUTHUKA TEXTILES</t>
  </si>
  <si>
    <t>SDYWM040</t>
  </si>
  <si>
    <t>MEHAWIN AGRO PRODUCTS</t>
  </si>
  <si>
    <t>SDYWP016</t>
  </si>
  <si>
    <t>PANCHAMI SPINNING MILLS</t>
  </si>
  <si>
    <t>SDYWP025</t>
  </si>
  <si>
    <t>PREAM INDUSTRIAL CORPORATION</t>
  </si>
  <si>
    <t>SDYWS059</t>
  </si>
  <si>
    <t>SUNRISETHANGAM SPIN MILL P LTD</t>
  </si>
  <si>
    <t>SDYWS167</t>
  </si>
  <si>
    <t>SOUTHER INDUSTRIES</t>
  </si>
  <si>
    <t>SDYWS174</t>
  </si>
  <si>
    <t>SRI MEENA COTTON TRADERS</t>
  </si>
  <si>
    <t>SDYWS175</t>
  </si>
  <si>
    <t>SRI BAGAVATHI AMMAN TRADERS</t>
  </si>
  <si>
    <t>SDYWS180</t>
  </si>
  <si>
    <t>SURYA CORPORATION</t>
  </si>
  <si>
    <t>SDYWV006</t>
  </si>
  <si>
    <t>VASANTHAM AND CO</t>
  </si>
  <si>
    <t>SDYWV008</t>
  </si>
  <si>
    <t>VINAYAK INDUSTRIES</t>
  </si>
  <si>
    <t xml:space="preserve">Add: Credit Balance in Bank A/c </t>
  </si>
  <si>
    <t>L T Adv. towards Land</t>
  </si>
  <si>
    <t>S T Adv. towards Land</t>
  </si>
  <si>
    <t>E13022</t>
  </si>
  <si>
    <t>INTEREST ACCRUED BUT NOT DUE</t>
  </si>
  <si>
    <t>E14006</t>
  </si>
  <si>
    <t>PROVISION FOR GRATUITY-MANAGERIAL PERSONNEL</t>
  </si>
  <si>
    <t>PROVISION FOR GRATUITY TO CHAIRMAN / MD</t>
  </si>
  <si>
    <t>PROVISION FOR GRATUITY TO OTHERS</t>
  </si>
  <si>
    <t xml:space="preserve">Long Term </t>
  </si>
  <si>
    <t>E14016</t>
  </si>
  <si>
    <t>PROVISION FOR LEAVE ENCASHMENT</t>
  </si>
  <si>
    <t>ANNUAL LEAVE WITH WAGES</t>
  </si>
  <si>
    <t>SHORT-TERM LOANS AND ADVANCES (OTHERS) - unsecured short term borrowings</t>
  </si>
  <si>
    <t>Long term</t>
  </si>
  <si>
    <t>Current Maturity</t>
  </si>
  <si>
    <t>Security Deposits</t>
  </si>
  <si>
    <t>SECURITY DEPOSITS</t>
  </si>
  <si>
    <t>OTHER ADVANCES RECOVERABLE IN CASH OR KIND</t>
  </si>
  <si>
    <t>LONG TERM LOANS &amp; ADVANCES</t>
  </si>
  <si>
    <t>INTEREST ACCRUED BUT DUE</t>
  </si>
  <si>
    <t>INTEREST ACCRUED BUT  DUE</t>
  </si>
  <si>
    <t>E3016</t>
  </si>
  <si>
    <t>INT SUSP UMAT FIN CHGS.(VOLVO CAR)</t>
  </si>
  <si>
    <t>KOTAK MAHINDRA PRIME LTD (VOLVO ADDL 15L)</t>
  </si>
  <si>
    <t>R.DORAISWAMI CHAIRMAN</t>
  </si>
  <si>
    <t>SHORT TERM LOANS (secured)</t>
  </si>
  <si>
    <t>THE S I B TRUST RELEASE A/C (LC)</t>
  </si>
  <si>
    <t>Current Maturities</t>
  </si>
  <si>
    <t>HIRE PURCHASE LOAN FROM BANK</t>
  </si>
  <si>
    <t>HIRE PURCHASE LOAN FROM OTHERS</t>
  </si>
  <si>
    <t xml:space="preserve">         Hire Purchase loans</t>
  </si>
  <si>
    <t>N.Jothikumar</t>
  </si>
  <si>
    <t>FIXED DEPOSIT FROM OTHERS</t>
  </si>
  <si>
    <t xml:space="preserve">   -From Directors</t>
  </si>
  <si>
    <t xml:space="preserve">   -From Others</t>
  </si>
  <si>
    <t>Inter Corporate Loan</t>
  </si>
  <si>
    <t>Current maturities of Inter corporate Loan</t>
  </si>
  <si>
    <t>Upto
31.03.2014</t>
  </si>
  <si>
    <t>Upto
31.03.2015</t>
  </si>
  <si>
    <t xml:space="preserve">to be adjusted agn. Dr. </t>
  </si>
  <si>
    <t>KOTAK MAHINDRA PRIME LTD (VOLVO)</t>
  </si>
  <si>
    <t>INT SUSP UMAT FIN CHGS.(VOLVO)</t>
  </si>
  <si>
    <t>ADVANCES RECOVERABLE IN CASH OR IN KIND(Advance to suppliers)</t>
  </si>
  <si>
    <t xml:space="preserve">
31.03.2015</t>
  </si>
  <si>
    <t xml:space="preserve">
31.03.2014</t>
  </si>
  <si>
    <t>D.Lakshminarayanaswamy</t>
  </si>
  <si>
    <t>S.A. Subramanian</t>
  </si>
  <si>
    <t xml:space="preserve"> Sasirekha Vengatesh</t>
  </si>
  <si>
    <t>Director</t>
  </si>
  <si>
    <t>28.05.2015</t>
  </si>
  <si>
    <t>Notes forming part of Financial Statements (Cont'd..)</t>
  </si>
  <si>
    <t xml:space="preserve">
31.3.2014</t>
  </si>
  <si>
    <t xml:space="preserve">  i)    From The South indian Bank Ltd                       </t>
  </si>
  <si>
    <t>Rs. In Lakhs</t>
  </si>
  <si>
    <t xml:space="preserve">                                                                                                                    </t>
  </si>
  <si>
    <t xml:space="preserve">
31.3.2015</t>
  </si>
  <si>
    <t>Loss for the year transferred from statement of Profit and Loss</t>
  </si>
  <si>
    <t>Transferred to Retained Earnings</t>
  </si>
  <si>
    <t>Outstanding for a period exceeding six months from the due date</t>
  </si>
  <si>
    <r>
      <rPr>
        <sz val="11"/>
        <color indexed="9"/>
        <rFont val="Calibri"/>
        <family val="2"/>
      </rPr>
      <t>(</t>
    </r>
    <r>
      <rPr>
        <sz val="11"/>
        <rFont val="Calibri"/>
        <family val="2"/>
      </rPr>
      <t>---&gt; In Rupees &lt;-----)</t>
    </r>
  </si>
  <si>
    <t>Details regarding Investment in the Capital of Partnership Firm                    (Dove Real Estate)</t>
  </si>
  <si>
    <t>(&lt;---------  Rupees---------&gt;</t>
  </si>
  <si>
    <t>(&lt;--------- Rupees----------&gt;)</t>
  </si>
  <si>
    <t>------&gt;  Rupees &lt;-------</t>
  </si>
  <si>
    <t xml:space="preserve">24 Employee Benefits Expense </t>
  </si>
  <si>
    <t xml:space="preserve">25 Finance cost </t>
  </si>
  <si>
    <t>Bank charges</t>
  </si>
  <si>
    <t>M.V. Jeganathan</t>
  </si>
  <si>
    <t>M.NO.214178</t>
  </si>
  <si>
    <t xml:space="preserve">G. Krishnakumar </t>
  </si>
  <si>
    <t>CFO</t>
  </si>
  <si>
    <t>There are no shares alloted as fully paid without payments being received in cash, bonus shares or shares bought back  in the immediate preceeding 5 previous years.</t>
  </si>
  <si>
    <t>Less: Write down of carrying amount of assets whose remaining useful life is nil as per schedule II of the Companies Act,2013. (Net of Deferred Tax)</t>
  </si>
  <si>
    <t>HDFC Ltd</t>
  </si>
  <si>
    <t>Due from  Companies in which Directors are interested</t>
  </si>
  <si>
    <t>(A) Tangible Assets :</t>
  </si>
  <si>
    <t>(B) Intangible Assets :</t>
  </si>
  <si>
    <t>Software</t>
  </si>
  <si>
    <t>TOTAL (B)</t>
  </si>
  <si>
    <t>TOTAL (A+B)</t>
  </si>
  <si>
    <r>
      <t xml:space="preserve">Deferred Tax Assets </t>
    </r>
    <r>
      <rPr>
        <sz val="9"/>
        <rFont val="Calibri"/>
        <family val="2"/>
      </rPr>
      <t>(Refer Addl.Disclosure)</t>
    </r>
  </si>
  <si>
    <t>Repayment Schedule for Inter Corporate Loans:</t>
  </si>
  <si>
    <t>Loans from The South Indian Bank Ltd are secured by first charge on hypothecation of Stock-in-Trade, and Book Debts and 
Second charge of the movable and immovable properties of the company. There is no case of continuing default as on the
date of  Balance Sheet in respect of repayment of loans and interest</t>
  </si>
  <si>
    <t>Profit/(Loss) on sale of Assets (Net)</t>
  </si>
  <si>
    <t>Managing Director remuneration</t>
  </si>
  <si>
    <t>Whole time Director remuneration</t>
  </si>
  <si>
    <t>Sri.R. Doraiswami (Deceased)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</si>
</sst>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quot; -&quot;#,##0.00\ ;&quot; -&quot;#\ ;@\ "/>
    <numFmt numFmtId="173" formatCode="##\ ##.00"/>
    <numFmt numFmtId="174" formatCode="0.00_);\(0.00\)"/>
    <numFmt numFmtId="175" formatCode="_ * #,##0_ ;_ * \-#,##0_ ;_ * &quot;-&quot;??_ ;_ @_ "/>
    <numFmt numFmtId="176" formatCode="0.0"/>
    <numFmt numFmtId="177" formatCode="#,##0;[Red]#,##0"/>
    <numFmt numFmtId="178" formatCode="#,##0.00;[Red]#,##0.00"/>
    <numFmt numFmtId="179" formatCode="_ * #,##0.0_ ;_ * \-#,##0.0_ ;_ * &quot;-&quot;??_ ;_ @_ "/>
  </numFmts>
  <fonts count="82">
    <font>
      <sz val="10"/>
      <name val="Arial"/>
      <family val="2"/>
    </font>
    <font>
      <sz val="11"/>
      <color indexed="8"/>
      <name val="Arial"/>
      <family val="2"/>
    </font>
    <font>
      <sz val="11"/>
      <color indexed="8"/>
      <name val="Calibri"/>
      <family val="2"/>
    </font>
    <font>
      <sz val="11"/>
      <name val="Calibri"/>
      <family val="2"/>
    </font>
    <font>
      <sz val="8"/>
      <name val="Arial"/>
      <family val="2"/>
    </font>
    <font>
      <sz val="10"/>
      <name val="MS Serif"/>
      <family val="1"/>
    </font>
    <font>
      <b/>
      <sz val="11"/>
      <name val="Calibri"/>
      <family val="2"/>
    </font>
    <font>
      <b/>
      <u val="single"/>
      <sz val="11"/>
      <name val="Calibri"/>
      <family val="2"/>
    </font>
    <font>
      <b/>
      <u val="single"/>
      <sz val="12"/>
      <name val="Calibri"/>
      <family val="2"/>
    </font>
    <font>
      <b/>
      <i/>
      <sz val="11"/>
      <name val="Calibri"/>
      <family val="2"/>
    </font>
    <font>
      <u val="single"/>
      <sz val="11"/>
      <name val="Calibri"/>
      <family val="2"/>
    </font>
    <font>
      <b/>
      <sz val="12"/>
      <name val="Calibri"/>
      <family val="2"/>
    </font>
    <font>
      <sz val="11"/>
      <color indexed="9"/>
      <name val="Calibri"/>
      <family val="2"/>
    </font>
    <font>
      <b/>
      <sz val="11"/>
      <name val="Rup"/>
      <family val="0"/>
    </font>
    <font>
      <sz val="9"/>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1"/>
      <color indexed="10"/>
      <name val="Calibri"/>
      <family val="2"/>
    </font>
    <font>
      <sz val="11"/>
      <color indexed="10"/>
      <name val="Calibri"/>
      <family val="2"/>
    </font>
    <font>
      <sz val="10"/>
      <color indexed="10"/>
      <name val="Calibri"/>
      <family val="2"/>
    </font>
    <font>
      <b/>
      <sz val="12"/>
      <color indexed="10"/>
      <name val="Calibri"/>
      <family val="2"/>
    </font>
    <font>
      <b/>
      <u val="single"/>
      <sz val="12"/>
      <color indexed="10"/>
      <name val="Calibri"/>
      <family val="2"/>
    </font>
    <font>
      <sz val="12"/>
      <color indexed="10"/>
      <name val="Calibri"/>
      <family val="2"/>
    </font>
    <font>
      <sz val="12"/>
      <color indexed="8"/>
      <name val="Calibri"/>
      <family val="2"/>
    </font>
    <font>
      <b/>
      <sz val="12"/>
      <color indexed="8"/>
      <name val="Calibri"/>
      <family val="2"/>
    </font>
    <font>
      <b/>
      <sz val="11"/>
      <color indexed="8"/>
      <name val="Calibri"/>
      <family val="2"/>
    </font>
    <font>
      <u val="single"/>
      <strike/>
      <sz val="11"/>
      <color indexed="8"/>
      <name val="Calibri"/>
      <family val="2"/>
    </font>
    <font>
      <sz val="14"/>
      <color indexed="8"/>
      <name val="Calibri"/>
      <family val="2"/>
    </font>
    <font>
      <b/>
      <sz val="13"/>
      <color indexed="8"/>
      <name val="Calibri"/>
      <family val="2"/>
    </font>
    <font>
      <sz val="12"/>
      <name val="Calibri"/>
      <family val="2"/>
    </font>
    <font>
      <b/>
      <sz val="16"/>
      <color indexed="8"/>
      <name val="Calibri"/>
      <family val="2"/>
    </font>
    <font>
      <b/>
      <sz val="14"/>
      <color indexed="8"/>
      <name val="Calibri"/>
      <family val="2"/>
    </font>
    <font>
      <b/>
      <u val="single"/>
      <sz val="14"/>
      <color indexed="8"/>
      <name val="Calibri"/>
      <family val="2"/>
    </font>
    <font>
      <b/>
      <i/>
      <sz val="14"/>
      <color indexed="10"/>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rgb="FFFF0000"/>
      <name val="Calibri"/>
      <family val="2"/>
    </font>
    <font>
      <sz val="11"/>
      <color rgb="FFFF0000"/>
      <name val="Calibri"/>
      <family val="2"/>
    </font>
    <font>
      <sz val="10"/>
      <color rgb="FFFF0000"/>
      <name val="Calibri"/>
      <family val="2"/>
    </font>
    <font>
      <b/>
      <sz val="12"/>
      <color rgb="FFFF0000"/>
      <name val="Calibri"/>
      <family val="2"/>
    </font>
    <font>
      <b/>
      <u val="single"/>
      <sz val="12"/>
      <color rgb="FFFF0000"/>
      <name val="Calibri"/>
      <family val="2"/>
    </font>
    <font>
      <sz val="12"/>
      <color rgb="FFFF0000"/>
      <name val="Calibri"/>
      <family val="2"/>
    </font>
    <font>
      <sz val="12"/>
      <color theme="1"/>
      <name val="Calibri"/>
      <family val="2"/>
    </font>
    <font>
      <b/>
      <sz val="12"/>
      <color theme="1"/>
      <name val="Calibri"/>
      <family val="2"/>
    </font>
    <font>
      <b/>
      <sz val="11"/>
      <color theme="1"/>
      <name val="Calibri"/>
      <family val="2"/>
    </font>
    <font>
      <u val="single"/>
      <strike/>
      <sz val="11"/>
      <color theme="1"/>
      <name val="Calibri"/>
      <family val="2"/>
    </font>
    <font>
      <sz val="14"/>
      <color theme="1"/>
      <name val="Calibri"/>
      <family val="2"/>
    </font>
    <font>
      <b/>
      <sz val="13"/>
      <color theme="1"/>
      <name val="Calibri"/>
      <family val="2"/>
    </font>
    <font>
      <b/>
      <sz val="16"/>
      <color theme="1"/>
      <name val="Calibri"/>
      <family val="2"/>
    </font>
    <font>
      <b/>
      <sz val="14"/>
      <color theme="1"/>
      <name val="Calibri"/>
      <family val="2"/>
    </font>
    <font>
      <b/>
      <u val="single"/>
      <sz val="14"/>
      <color theme="1"/>
      <name val="Calibri"/>
      <family val="2"/>
    </font>
    <font>
      <b/>
      <i/>
      <sz val="14"/>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bottom/>
    </border>
    <border>
      <left>
        <color indexed="63"/>
      </left>
      <right>
        <color indexed="63"/>
      </right>
      <top style="thin"/>
      <bottom style="double"/>
    </border>
    <border>
      <left/>
      <right/>
      <top style="thin"/>
      <bottom style="thin"/>
    </border>
    <border>
      <left/>
      <right/>
      <top style="thin"/>
      <bottom/>
    </border>
    <border>
      <left style="thin"/>
      <right/>
      <top style="thin"/>
      <bottom style="thin"/>
    </border>
    <border>
      <left/>
      <right style="thin"/>
      <top/>
      <bottom/>
    </border>
    <border>
      <left style="thin"/>
      <right style="thin"/>
      <top/>
      <bottom style="thin"/>
    </border>
    <border>
      <left style="thin"/>
      <right>
        <color indexed="63"/>
      </right>
      <top style="thin"/>
      <bottom style="double"/>
    </border>
    <border>
      <left style="thin"/>
      <right style="thin"/>
      <top style="thin"/>
      <bottom style="double"/>
    </border>
    <border>
      <left/>
      <right/>
      <top/>
      <bottom style="thin"/>
    </border>
    <border>
      <left/>
      <right style="thin"/>
      <top/>
      <bottom style="thin"/>
    </border>
    <border>
      <left style="thin"/>
      <right style="thin"/>
      <top style="thin"/>
      <bottom/>
    </border>
    <border>
      <left/>
      <right style="thin"/>
      <top style="thin"/>
      <bottom style="double"/>
    </border>
    <border>
      <left style="thin"/>
      <right/>
      <top style="thin"/>
      <bottom/>
    </border>
    <border>
      <left style="thin"/>
      <right/>
      <top/>
      <bottom style="thin"/>
    </border>
    <border>
      <left/>
      <right style="thin"/>
      <top style="thin"/>
      <bottom/>
    </border>
    <border>
      <left style="thin"/>
      <right style="thin"/>
      <top style="thin"/>
      <bottom style="medium"/>
    </border>
    <border>
      <left style="thin"/>
      <right style="thin"/>
      <top>
        <color indexed="63"/>
      </top>
      <bottom style="double"/>
    </border>
    <border>
      <left style="thin"/>
      <right style="thin"/>
      <top style="thin">
        <color theme="1"/>
      </top>
      <bottom style="double">
        <color theme="1"/>
      </bottom>
    </border>
    <border>
      <left/>
      <right style="thin"/>
      <top style="thin">
        <color theme="1"/>
      </top>
      <bottom style="double">
        <color theme="1"/>
      </bottom>
    </border>
    <border>
      <left style="thin"/>
      <right style="thin"/>
      <top/>
      <bottom style="thin">
        <color theme="0" tint="-0.4999699890613556"/>
      </botto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lignment/>
      <protection/>
    </xf>
    <xf numFmtId="0" fontId="2" fillId="0" borderId="0">
      <alignment/>
      <protection/>
    </xf>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08">
    <xf numFmtId="0" fontId="0" fillId="0" borderId="0" xfId="0" applyAlignment="1">
      <alignment/>
    </xf>
    <xf numFmtId="0" fontId="3" fillId="0" borderId="0" xfId="0" applyFont="1" applyFill="1" applyBorder="1" applyAlignment="1">
      <alignment/>
    </xf>
    <xf numFmtId="3" fontId="3" fillId="0" borderId="0" xfId="0" applyNumberFormat="1" applyFont="1" applyFill="1" applyBorder="1" applyAlignment="1">
      <alignment/>
    </xf>
    <xf numFmtId="3" fontId="3" fillId="0" borderId="0" xfId="0" applyNumberFormat="1" applyFont="1" applyBorder="1" applyAlignment="1">
      <alignment/>
    </xf>
    <xf numFmtId="3" fontId="66" fillId="0" borderId="10" xfId="48" applyNumberFormat="1" applyFont="1" applyFill="1" applyBorder="1">
      <alignment/>
      <protection/>
    </xf>
    <xf numFmtId="174" fontId="3" fillId="0" borderId="0" xfId="42" applyNumberFormat="1" applyFont="1" applyFill="1" applyBorder="1" applyAlignment="1">
      <alignment horizontal="right"/>
    </xf>
    <xf numFmtId="1" fontId="7" fillId="0" borderId="0" xfId="48" applyNumberFormat="1" applyFont="1" applyFill="1" applyBorder="1" applyAlignment="1">
      <alignment horizontal="left" vertical="top" wrapText="1"/>
      <protection/>
    </xf>
    <xf numFmtId="2" fontId="6" fillId="0" borderId="10" xfId="0" applyNumberFormat="1" applyFont="1" applyBorder="1" applyAlignment="1">
      <alignment horizontal="center"/>
    </xf>
    <xf numFmtId="2" fontId="6" fillId="0" borderId="10" xfId="0" applyNumberFormat="1" applyFont="1" applyBorder="1" applyAlignment="1">
      <alignment horizontal="center" vertical="center"/>
    </xf>
    <xf numFmtId="2" fontId="3" fillId="0" borderId="10" xfId="0" applyNumberFormat="1" applyFont="1" applyBorder="1" applyAlignment="1">
      <alignment/>
    </xf>
    <xf numFmtId="2" fontId="3" fillId="0" borderId="11" xfId="0" applyNumberFormat="1" applyFont="1" applyBorder="1" applyAlignment="1">
      <alignment/>
    </xf>
    <xf numFmtId="0" fontId="67" fillId="0" borderId="0" xfId="48" applyFont="1" applyFill="1" applyBorder="1">
      <alignment/>
      <protection/>
    </xf>
    <xf numFmtId="1" fontId="3" fillId="0" borderId="0" xfId="59" applyNumberFormat="1" applyFont="1" applyFill="1" applyBorder="1">
      <alignment/>
      <protection/>
    </xf>
    <xf numFmtId="1" fontId="6" fillId="0" borderId="0" xfId="59" applyNumberFormat="1" applyFont="1" applyFill="1" applyBorder="1" applyAlignment="1">
      <alignment/>
      <protection/>
    </xf>
    <xf numFmtId="1" fontId="6" fillId="0" borderId="0" xfId="59" applyNumberFormat="1" applyFont="1" applyFill="1" applyBorder="1" applyAlignment="1">
      <alignment horizontal="right"/>
      <protection/>
    </xf>
    <xf numFmtId="1" fontId="6" fillId="0" borderId="0" xfId="59" applyNumberFormat="1" applyFont="1" applyFill="1" applyBorder="1" applyAlignment="1">
      <alignment horizontal="left"/>
      <protection/>
    </xf>
    <xf numFmtId="1" fontId="6" fillId="0" borderId="0" xfId="59" applyNumberFormat="1" applyFont="1" applyFill="1" applyBorder="1" applyAlignment="1">
      <alignment vertical="center"/>
      <protection/>
    </xf>
    <xf numFmtId="1" fontId="3" fillId="0" borderId="0" xfId="59" applyNumberFormat="1" applyFont="1" applyFill="1" applyBorder="1" applyAlignment="1">
      <alignment/>
      <protection/>
    </xf>
    <xf numFmtId="0" fontId="6" fillId="0" borderId="0" xfId="59" applyFont="1" applyFill="1" applyBorder="1" applyAlignment="1">
      <alignment/>
      <protection/>
    </xf>
    <xf numFmtId="1" fontId="3" fillId="0" borderId="0" xfId="59" applyNumberFormat="1" applyFont="1" applyFill="1" applyBorder="1" applyAlignment="1" applyProtection="1">
      <alignment horizontal="right" vertical="center"/>
      <protection/>
    </xf>
    <xf numFmtId="1" fontId="6" fillId="0" borderId="0" xfId="59" applyNumberFormat="1" applyFont="1" applyFill="1" applyBorder="1">
      <alignment/>
      <protection/>
    </xf>
    <xf numFmtId="1" fontId="3" fillId="0" borderId="0" xfId="59" applyNumberFormat="1" applyFont="1" applyFill="1" applyBorder="1" applyAlignment="1">
      <alignment horizontal="center"/>
      <protection/>
    </xf>
    <xf numFmtId="1" fontId="6" fillId="0" borderId="0" xfId="59" applyNumberFormat="1" applyFont="1" applyFill="1" applyBorder="1" applyAlignment="1">
      <alignment horizontal="center"/>
      <protection/>
    </xf>
    <xf numFmtId="1" fontId="6" fillId="0" borderId="0" xfId="59" applyNumberFormat="1" applyFont="1" applyFill="1" applyBorder="1" applyAlignment="1">
      <alignment horizontal="right" vertical="justify"/>
      <protection/>
    </xf>
    <xf numFmtId="0" fontId="3" fillId="0" borderId="0" xfId="48" applyFont="1" applyFill="1" applyBorder="1">
      <alignment/>
      <protection/>
    </xf>
    <xf numFmtId="3" fontId="3" fillId="0" borderId="0" xfId="48" applyNumberFormat="1" applyFont="1" applyFill="1" applyBorder="1">
      <alignment/>
      <protection/>
    </xf>
    <xf numFmtId="0" fontId="3" fillId="0" borderId="11" xfId="48" applyFont="1" applyFill="1" applyBorder="1" applyAlignment="1">
      <alignment/>
      <protection/>
    </xf>
    <xf numFmtId="0" fontId="3" fillId="0" borderId="11" xfId="48" applyFont="1" applyFill="1" applyBorder="1" applyAlignment="1">
      <alignment horizontal="center"/>
      <protection/>
    </xf>
    <xf numFmtId="0" fontId="3" fillId="0" borderId="0" xfId="48" applyFont="1" applyFill="1" applyBorder="1" applyAlignment="1">
      <alignment/>
      <protection/>
    </xf>
    <xf numFmtId="0" fontId="3" fillId="0" borderId="0" xfId="48" applyFont="1" applyFill="1" applyBorder="1" applyAlignment="1">
      <alignment horizontal="center"/>
      <protection/>
    </xf>
    <xf numFmtId="0" fontId="6" fillId="0" borderId="0" xfId="48" applyFont="1" applyFill="1" applyBorder="1">
      <alignment/>
      <protection/>
    </xf>
    <xf numFmtId="0" fontId="6" fillId="0" borderId="10" xfId="48" applyFont="1" applyFill="1" applyBorder="1" applyAlignment="1">
      <alignment horizontal="center"/>
      <protection/>
    </xf>
    <xf numFmtId="37" fontId="3" fillId="0" borderId="0" xfId="48" applyNumberFormat="1" applyFont="1" applyFill="1" applyBorder="1">
      <alignment/>
      <protection/>
    </xf>
    <xf numFmtId="171" fontId="3" fillId="0" borderId="0" xfId="42" applyFont="1" applyFill="1" applyBorder="1" applyAlignment="1">
      <alignment/>
    </xf>
    <xf numFmtId="4" fontId="6" fillId="0" borderId="0" xfId="48" applyNumberFormat="1" applyFont="1" applyFill="1" applyBorder="1">
      <alignment/>
      <protection/>
    </xf>
    <xf numFmtId="4" fontId="3" fillId="0" borderId="0" xfId="48" applyNumberFormat="1" applyFont="1" applyFill="1" applyBorder="1">
      <alignment/>
      <protection/>
    </xf>
    <xf numFmtId="3" fontId="6" fillId="0" borderId="0" xfId="48" applyNumberFormat="1" applyFont="1" applyFill="1" applyBorder="1">
      <alignment/>
      <protection/>
    </xf>
    <xf numFmtId="0" fontId="3" fillId="0" borderId="0" xfId="48" applyFont="1" applyFill="1" applyBorder="1" applyAlignment="1">
      <alignment vertical="top"/>
      <protection/>
    </xf>
    <xf numFmtId="177" fontId="3" fillId="0" borderId="0" xfId="48" applyNumberFormat="1" applyFont="1" applyFill="1" applyBorder="1">
      <alignment/>
      <protection/>
    </xf>
    <xf numFmtId="0" fontId="6" fillId="0" borderId="0" xfId="48" applyFont="1" applyFill="1" applyBorder="1" applyAlignment="1">
      <alignment horizontal="center"/>
      <protection/>
    </xf>
    <xf numFmtId="2" fontId="6" fillId="0" borderId="0" xfId="48" applyNumberFormat="1" applyFont="1" applyFill="1" applyBorder="1" applyAlignment="1">
      <alignment/>
      <protection/>
    </xf>
    <xf numFmtId="0" fontId="3" fillId="0" borderId="12" xfId="48" applyFont="1" applyFill="1" applyBorder="1">
      <alignment/>
      <protection/>
    </xf>
    <xf numFmtId="0" fontId="6" fillId="0" borderId="10" xfId="48" applyFont="1" applyFill="1" applyBorder="1" applyAlignment="1">
      <alignment horizontal="center" vertical="center"/>
      <protection/>
    </xf>
    <xf numFmtId="0" fontId="3" fillId="0" borderId="0" xfId="48" applyFont="1" applyFill="1" applyBorder="1" applyAlignment="1">
      <alignment horizontal="left" vertical="center"/>
      <protection/>
    </xf>
    <xf numFmtId="0" fontId="3" fillId="0" borderId="0" xfId="0" applyFont="1" applyBorder="1" applyAlignment="1">
      <alignment/>
    </xf>
    <xf numFmtId="0" fontId="68" fillId="0" borderId="0" xfId="0" applyFont="1" applyFill="1" applyAlignment="1">
      <alignment/>
    </xf>
    <xf numFmtId="0" fontId="69" fillId="0" borderId="10" xfId="48" applyFont="1" applyFill="1" applyBorder="1" applyAlignment="1">
      <alignment horizontal="center"/>
      <protection/>
    </xf>
    <xf numFmtId="2" fontId="69" fillId="0" borderId="10" xfId="48" applyNumberFormat="1" applyFont="1" applyFill="1" applyBorder="1" applyAlignment="1">
      <alignment horizontal="center" wrapText="1"/>
      <protection/>
    </xf>
    <xf numFmtId="0" fontId="67" fillId="0" borderId="10" xfId="48" applyFont="1" applyFill="1" applyBorder="1" applyAlignment="1">
      <alignment horizontal="center"/>
      <protection/>
    </xf>
    <xf numFmtId="2" fontId="66" fillId="0" borderId="10" xfId="48" applyNumberFormat="1" applyFont="1" applyFill="1" applyBorder="1" applyAlignment="1">
      <alignment horizontal="center" wrapText="1"/>
      <protection/>
    </xf>
    <xf numFmtId="2" fontId="67" fillId="0" borderId="10" xfId="48" applyNumberFormat="1" applyFont="1" applyFill="1" applyBorder="1" applyAlignment="1">
      <alignment horizontal="center" wrapText="1"/>
      <protection/>
    </xf>
    <xf numFmtId="0" fontId="70" fillId="0" borderId="10" xfId="48" applyFont="1" applyFill="1" applyBorder="1">
      <alignment/>
      <protection/>
    </xf>
    <xf numFmtId="0" fontId="67" fillId="0" borderId="10" xfId="48" applyFont="1" applyFill="1" applyBorder="1">
      <alignment/>
      <protection/>
    </xf>
    <xf numFmtId="2" fontId="66" fillId="0" borderId="10" xfId="48" applyNumberFormat="1" applyFont="1" applyFill="1" applyBorder="1">
      <alignment/>
      <protection/>
    </xf>
    <xf numFmtId="2" fontId="67" fillId="0" borderId="10" xfId="48" applyNumberFormat="1" applyFont="1" applyFill="1" applyBorder="1" applyAlignment="1">
      <alignment wrapText="1"/>
      <protection/>
    </xf>
    <xf numFmtId="0" fontId="69" fillId="0" borderId="10" xfId="48" applyFont="1" applyFill="1" applyBorder="1" applyAlignment="1">
      <alignment/>
      <protection/>
    </xf>
    <xf numFmtId="2" fontId="67" fillId="0" borderId="10" xfId="48" applyNumberFormat="1" applyFont="1" applyFill="1" applyBorder="1">
      <alignment/>
      <protection/>
    </xf>
    <xf numFmtId="0" fontId="67" fillId="0" borderId="10" xfId="48" applyFont="1" applyFill="1" applyBorder="1" applyAlignment="1">
      <alignment/>
      <protection/>
    </xf>
    <xf numFmtId="3" fontId="67" fillId="0" borderId="10" xfId="48" applyNumberFormat="1" applyFont="1" applyFill="1" applyBorder="1">
      <alignment/>
      <protection/>
    </xf>
    <xf numFmtId="3" fontId="68" fillId="0" borderId="0" xfId="0" applyNumberFormat="1" applyFont="1" applyFill="1" applyAlignment="1">
      <alignment/>
    </xf>
    <xf numFmtId="3" fontId="66" fillId="0" borderId="10" xfId="48" applyNumberFormat="1" applyFont="1" applyFill="1" applyBorder="1" applyAlignment="1">
      <alignment/>
      <protection/>
    </xf>
    <xf numFmtId="3" fontId="69" fillId="0" borderId="10" xfId="48" applyNumberFormat="1" applyFont="1" applyFill="1" applyBorder="1">
      <alignment/>
      <protection/>
    </xf>
    <xf numFmtId="3" fontId="71" fillId="0" borderId="10" xfId="48" applyNumberFormat="1" applyFont="1" applyFill="1" applyBorder="1">
      <alignment/>
      <protection/>
    </xf>
    <xf numFmtId="0" fontId="69" fillId="0" borderId="10" xfId="48" applyFont="1" applyFill="1" applyBorder="1">
      <alignment/>
      <protection/>
    </xf>
    <xf numFmtId="173" fontId="66" fillId="0" borderId="10" xfId="48" applyNumberFormat="1" applyFont="1" applyFill="1" applyBorder="1">
      <alignment/>
      <protection/>
    </xf>
    <xf numFmtId="173" fontId="67" fillId="0" borderId="10" xfId="48" applyNumberFormat="1" applyFont="1" applyFill="1" applyBorder="1">
      <alignment/>
      <protection/>
    </xf>
    <xf numFmtId="0" fontId="67" fillId="0" borderId="10" xfId="48" applyFont="1" applyFill="1" applyBorder="1" applyAlignment="1">
      <alignment horizontal="left" vertical="top"/>
      <protection/>
    </xf>
    <xf numFmtId="3" fontId="67" fillId="0" borderId="10" xfId="48" applyNumberFormat="1" applyFont="1" applyFill="1" applyBorder="1" applyAlignment="1">
      <alignment/>
      <protection/>
    </xf>
    <xf numFmtId="0" fontId="72" fillId="0" borderId="0" xfId="0" applyFont="1" applyFill="1" applyAlignment="1">
      <alignment horizontal="left"/>
    </xf>
    <xf numFmtId="0" fontId="72" fillId="0" borderId="0" xfId="0" applyFont="1" applyFill="1" applyAlignment="1">
      <alignment/>
    </xf>
    <xf numFmtId="0" fontId="0" fillId="0" borderId="0" xfId="0" applyFont="1" applyFill="1" applyAlignment="1">
      <alignment/>
    </xf>
    <xf numFmtId="0" fontId="53" fillId="0" borderId="0" xfId="0" applyFont="1" applyAlignment="1">
      <alignment/>
    </xf>
    <xf numFmtId="0" fontId="8" fillId="0" borderId="0" xfId="48" applyFont="1" applyFill="1" applyBorder="1" applyAlignment="1">
      <alignment horizontal="left" vertical="top"/>
      <protection/>
    </xf>
    <xf numFmtId="171" fontId="8" fillId="0" borderId="0" xfId="42" applyFont="1" applyFill="1" applyBorder="1" applyAlignment="1">
      <alignment horizontal="left" vertical="top"/>
    </xf>
    <xf numFmtId="0" fontId="8" fillId="0" borderId="0" xfId="48" applyFont="1" applyFill="1" applyBorder="1" applyAlignment="1">
      <alignment horizontal="center" vertical="center"/>
      <protection/>
    </xf>
    <xf numFmtId="171" fontId="8" fillId="0" borderId="0" xfId="42" applyFont="1" applyFill="1" applyBorder="1" applyAlignment="1">
      <alignment horizontal="center" vertical="center"/>
    </xf>
    <xf numFmtId="0" fontId="73" fillId="13" borderId="0" xfId="0" applyFont="1" applyFill="1" applyAlignment="1">
      <alignment horizontal="center"/>
    </xf>
    <xf numFmtId="0" fontId="73" fillId="13" borderId="0" xfId="0" applyFont="1" applyFill="1" applyAlignment="1">
      <alignment/>
    </xf>
    <xf numFmtId="0" fontId="74" fillId="12" borderId="0" xfId="0" applyFont="1" applyFill="1" applyAlignment="1">
      <alignment horizontal="center"/>
    </xf>
    <xf numFmtId="0" fontId="74" fillId="12" borderId="0" xfId="0" applyFont="1" applyFill="1" applyAlignment="1">
      <alignment/>
    </xf>
    <xf numFmtId="171" fontId="74" fillId="0" borderId="0" xfId="42" applyFont="1" applyFill="1" applyAlignment="1">
      <alignment/>
    </xf>
    <xf numFmtId="171" fontId="53" fillId="0" borderId="0" xfId="42" applyFont="1" applyFill="1" applyAlignment="1">
      <alignment/>
    </xf>
    <xf numFmtId="0" fontId="3" fillId="0" borderId="0" xfId="0" applyFont="1" applyAlignment="1">
      <alignment horizontal="center"/>
    </xf>
    <xf numFmtId="0" fontId="3" fillId="0" borderId="0" xfId="0" applyFont="1" applyAlignment="1">
      <alignment/>
    </xf>
    <xf numFmtId="171" fontId="53" fillId="0" borderId="0" xfId="42" applyFont="1" applyBorder="1" applyAlignment="1">
      <alignment/>
    </xf>
    <xf numFmtId="0" fontId="6" fillId="12" borderId="0" xfId="0" applyFont="1" applyFill="1" applyAlignment="1">
      <alignment horizontal="center"/>
    </xf>
    <xf numFmtId="0" fontId="6" fillId="12" borderId="0" xfId="0" applyFont="1" applyFill="1" applyAlignment="1">
      <alignment/>
    </xf>
    <xf numFmtId="171" fontId="6" fillId="0" borderId="0" xfId="42" applyFont="1" applyFill="1" applyAlignment="1">
      <alignment/>
    </xf>
    <xf numFmtId="171" fontId="3" fillId="0" borderId="0" xfId="42" applyFont="1" applyFill="1" applyAlignment="1">
      <alignment/>
    </xf>
    <xf numFmtId="0" fontId="53" fillId="0" borderId="0" xfId="0" applyFont="1" applyAlignment="1">
      <alignment horizontal="center"/>
    </xf>
    <xf numFmtId="171" fontId="74" fillId="0" borderId="13" xfId="42" applyFont="1" applyFill="1" applyBorder="1" applyAlignment="1">
      <alignment/>
    </xf>
    <xf numFmtId="171" fontId="73" fillId="0" borderId="0" xfId="42" applyFont="1" applyFill="1" applyAlignment="1">
      <alignment/>
    </xf>
    <xf numFmtId="0" fontId="74" fillId="0" borderId="0" xfId="0" applyFont="1" applyFill="1" applyAlignment="1">
      <alignment horizontal="center"/>
    </xf>
    <xf numFmtId="0" fontId="74" fillId="0" borderId="0" xfId="0" applyFont="1" applyFill="1" applyAlignment="1">
      <alignment/>
    </xf>
    <xf numFmtId="0" fontId="53" fillId="0" borderId="0" xfId="0" applyFont="1" applyFill="1" applyAlignment="1">
      <alignment/>
    </xf>
    <xf numFmtId="171" fontId="53" fillId="0" borderId="0" xfId="42" applyFont="1" applyFill="1" applyBorder="1" applyAlignment="1">
      <alignment/>
    </xf>
    <xf numFmtId="0" fontId="74" fillId="0" borderId="0" xfId="0" applyFont="1" applyAlignment="1">
      <alignment/>
    </xf>
    <xf numFmtId="171" fontId="3" fillId="0" borderId="13" xfId="42" applyFont="1" applyFill="1" applyBorder="1" applyAlignment="1">
      <alignment/>
    </xf>
    <xf numFmtId="171" fontId="53" fillId="0" borderId="13" xfId="42" applyFont="1" applyFill="1" applyBorder="1" applyAlignment="1">
      <alignment/>
    </xf>
    <xf numFmtId="0" fontId="53" fillId="0" borderId="0" xfId="0" applyFont="1" applyFill="1" applyAlignment="1">
      <alignment horizontal="center"/>
    </xf>
    <xf numFmtId="171" fontId="74" fillId="0" borderId="14" xfId="42" applyFont="1" applyFill="1" applyBorder="1" applyAlignment="1">
      <alignment/>
    </xf>
    <xf numFmtId="171" fontId="74" fillId="12" borderId="0" xfId="42" applyFont="1" applyFill="1" applyAlignment="1">
      <alignment/>
    </xf>
    <xf numFmtId="167" fontId="75" fillId="0" borderId="0" xfId="0" applyNumberFormat="1" applyFont="1" applyAlignment="1">
      <alignment/>
    </xf>
    <xf numFmtId="171" fontId="53" fillId="0" borderId="0" xfId="42" applyFont="1" applyAlignment="1">
      <alignment/>
    </xf>
    <xf numFmtId="171" fontId="67" fillId="0" borderId="0" xfId="42" applyFont="1" applyAlignment="1">
      <alignment/>
    </xf>
    <xf numFmtId="171" fontId="74" fillId="0" borderId="13" xfId="42" applyFont="1" applyBorder="1" applyAlignment="1">
      <alignment/>
    </xf>
    <xf numFmtId="0" fontId="74" fillId="0" borderId="0" xfId="0" applyFont="1" applyBorder="1" applyAlignment="1">
      <alignment/>
    </xf>
    <xf numFmtId="0" fontId="67" fillId="0" borderId="0" xfId="0" applyFont="1" applyAlignment="1">
      <alignment/>
    </xf>
    <xf numFmtId="0" fontId="74" fillId="0" borderId="0" xfId="0" applyFont="1" applyFill="1" applyAlignment="1">
      <alignment horizontal="left"/>
    </xf>
    <xf numFmtId="0" fontId="74" fillId="0" borderId="0" xfId="0" applyFont="1" applyAlignment="1">
      <alignment horizontal="left"/>
    </xf>
    <xf numFmtId="171" fontId="74" fillId="0" borderId="0" xfId="42" applyFont="1" applyFill="1" applyBorder="1" applyAlignment="1">
      <alignment/>
    </xf>
    <xf numFmtId="49" fontId="53" fillId="0" borderId="0" xfId="0" applyNumberFormat="1" applyFont="1" applyAlignment="1">
      <alignment/>
    </xf>
    <xf numFmtId="0" fontId="53" fillId="0" borderId="0" xfId="0" applyFont="1" applyBorder="1" applyAlignment="1">
      <alignment/>
    </xf>
    <xf numFmtId="0" fontId="53" fillId="0" borderId="0" xfId="0" applyFont="1" applyBorder="1" applyAlignment="1">
      <alignment horizontal="center"/>
    </xf>
    <xf numFmtId="0" fontId="53" fillId="0" borderId="0" xfId="0" applyFont="1" applyAlignment="1">
      <alignment horizontal="center"/>
    </xf>
    <xf numFmtId="171" fontId="67" fillId="0" borderId="0" xfId="42" applyFont="1" applyFill="1" applyAlignment="1">
      <alignment/>
    </xf>
    <xf numFmtId="171" fontId="53" fillId="0" borderId="15" xfId="42" applyFont="1" applyFill="1" applyBorder="1" applyAlignment="1">
      <alignment/>
    </xf>
    <xf numFmtId="171" fontId="66" fillId="0" borderId="0" xfId="42" applyFont="1" applyFill="1" applyAlignment="1">
      <alignment/>
    </xf>
    <xf numFmtId="0" fontId="72" fillId="0" borderId="0" xfId="0" applyFont="1" applyFill="1" applyBorder="1" applyAlignment="1">
      <alignment/>
    </xf>
    <xf numFmtId="0" fontId="72" fillId="0" borderId="0" xfId="0" applyFont="1" applyFill="1" applyBorder="1" applyAlignment="1">
      <alignment horizontal="left"/>
    </xf>
    <xf numFmtId="43" fontId="72" fillId="0" borderId="0" xfId="44" applyFont="1" applyFill="1" applyBorder="1" applyAlignment="1">
      <alignment/>
    </xf>
    <xf numFmtId="43" fontId="72" fillId="0" borderId="0" xfId="44" applyFont="1" applyFill="1" applyAlignment="1">
      <alignment/>
    </xf>
    <xf numFmtId="0" fontId="76" fillId="0" borderId="0" xfId="0" applyFont="1" applyFill="1" applyAlignment="1">
      <alignment/>
    </xf>
    <xf numFmtId="43" fontId="73" fillId="0" borderId="0" xfId="44" applyFont="1" applyFill="1" applyAlignment="1">
      <alignment wrapText="1"/>
    </xf>
    <xf numFmtId="0" fontId="73" fillId="0" borderId="0" xfId="0" applyFont="1" applyFill="1" applyAlignment="1">
      <alignment horizontal="center" vertical="center" wrapText="1"/>
    </xf>
    <xf numFmtId="0" fontId="73" fillId="0" borderId="0" xfId="0" applyFont="1" applyFill="1" applyAlignment="1">
      <alignment/>
    </xf>
    <xf numFmtId="43" fontId="73" fillId="0" borderId="0" xfId="44" applyFont="1" applyFill="1" applyAlignment="1">
      <alignment/>
    </xf>
    <xf numFmtId="0" fontId="77" fillId="0" borderId="0" xfId="0" applyFont="1" applyFill="1" applyAlignment="1">
      <alignment horizontal="left"/>
    </xf>
    <xf numFmtId="0" fontId="77" fillId="0" borderId="0" xfId="0" applyFont="1" applyFill="1" applyAlignment="1">
      <alignment/>
    </xf>
    <xf numFmtId="0" fontId="73" fillId="0" borderId="0" xfId="0" applyFont="1" applyFill="1" applyAlignment="1">
      <alignment horizontal="right"/>
    </xf>
    <xf numFmtId="43" fontId="73" fillId="0" borderId="13" xfId="44" applyFont="1" applyFill="1" applyBorder="1" applyAlignment="1">
      <alignment horizontal="right"/>
    </xf>
    <xf numFmtId="0" fontId="73" fillId="0" borderId="13" xfId="0" applyFont="1" applyFill="1" applyBorder="1" applyAlignment="1">
      <alignment/>
    </xf>
    <xf numFmtId="43" fontId="73" fillId="0" borderId="0" xfId="44" applyFont="1" applyFill="1" applyAlignment="1">
      <alignment horizontal="right"/>
    </xf>
    <xf numFmtId="0" fontId="73" fillId="0" borderId="0" xfId="0" applyFont="1" applyFill="1" applyBorder="1" applyAlignment="1">
      <alignment/>
    </xf>
    <xf numFmtId="0" fontId="73" fillId="0" borderId="0" xfId="0" applyFont="1" applyFill="1" applyBorder="1" applyAlignment="1">
      <alignment horizontal="left"/>
    </xf>
    <xf numFmtId="49" fontId="72" fillId="0" borderId="0" xfId="0" applyNumberFormat="1" applyFont="1" applyFill="1" applyBorder="1" applyAlignment="1">
      <alignment/>
    </xf>
    <xf numFmtId="43" fontId="73" fillId="0" borderId="13" xfId="44" applyFont="1" applyFill="1" applyBorder="1" applyAlignment="1">
      <alignment/>
    </xf>
    <xf numFmtId="43" fontId="72" fillId="0" borderId="13" xfId="44" applyFont="1" applyFill="1" applyBorder="1" applyAlignment="1">
      <alignment/>
    </xf>
    <xf numFmtId="0" fontId="73" fillId="0" borderId="0" xfId="0" applyFont="1" applyFill="1" applyAlignment="1">
      <alignment horizontal="left"/>
    </xf>
    <xf numFmtId="0" fontId="43" fillId="0" borderId="0" xfId="0" applyFont="1" applyFill="1" applyBorder="1" applyAlignment="1">
      <alignment horizontal="left"/>
    </xf>
    <xf numFmtId="0" fontId="43" fillId="0" borderId="0" xfId="0" applyFont="1" applyFill="1" applyBorder="1" applyAlignment="1">
      <alignment/>
    </xf>
    <xf numFmtId="49" fontId="73" fillId="0" borderId="0" xfId="0" applyNumberFormat="1" applyFont="1" applyFill="1" applyBorder="1" applyAlignment="1">
      <alignment horizontal="left"/>
    </xf>
    <xf numFmtId="174" fontId="72" fillId="0" borderId="0" xfId="0" applyNumberFormat="1" applyFont="1" applyFill="1" applyAlignment="1">
      <alignment/>
    </xf>
    <xf numFmtId="174" fontId="72" fillId="0" borderId="13" xfId="0" applyNumberFormat="1" applyFont="1" applyFill="1" applyBorder="1" applyAlignment="1">
      <alignment/>
    </xf>
    <xf numFmtId="0" fontId="72" fillId="0" borderId="0" xfId="0" applyFont="1" applyFill="1" applyAlignment="1">
      <alignment vertical="center" wrapText="1"/>
    </xf>
    <xf numFmtId="0" fontId="72" fillId="0" borderId="13" xfId="0" applyFont="1" applyFill="1" applyBorder="1" applyAlignment="1">
      <alignment/>
    </xf>
    <xf numFmtId="2" fontId="72" fillId="0" borderId="0" xfId="0" applyNumberFormat="1" applyFont="1" applyFill="1" applyBorder="1" applyAlignment="1">
      <alignment/>
    </xf>
    <xf numFmtId="43" fontId="73" fillId="0" borderId="13" xfId="0" applyNumberFormat="1" applyFont="1" applyFill="1" applyBorder="1" applyAlignment="1">
      <alignment/>
    </xf>
    <xf numFmtId="0" fontId="71" fillId="0" borderId="0" xfId="0" applyFont="1" applyFill="1" applyAlignment="1">
      <alignment/>
    </xf>
    <xf numFmtId="0" fontId="72" fillId="0" borderId="0" xfId="0" applyFont="1" applyFill="1" applyAlignment="1">
      <alignment wrapText="1"/>
    </xf>
    <xf numFmtId="49" fontId="78" fillId="0" borderId="0" xfId="0" applyNumberFormat="1" applyFont="1" applyFill="1" applyBorder="1" applyAlignment="1">
      <alignment vertical="center"/>
    </xf>
    <xf numFmtId="0" fontId="79" fillId="0" borderId="0" xfId="0" applyFont="1" applyFill="1" applyBorder="1" applyAlignment="1">
      <alignment horizontal="center"/>
    </xf>
    <xf numFmtId="0" fontId="80" fillId="0" borderId="0" xfId="0" applyFont="1" applyFill="1" applyBorder="1" applyAlignment="1">
      <alignment horizontal="center" vertical="center"/>
    </xf>
    <xf numFmtId="43" fontId="80" fillId="0" borderId="0" xfId="44" applyFont="1" applyFill="1" applyBorder="1" applyAlignment="1">
      <alignment horizontal="center"/>
    </xf>
    <xf numFmtId="0" fontId="80" fillId="0" borderId="0" xfId="0" applyFont="1" applyFill="1" applyAlignment="1">
      <alignment/>
    </xf>
    <xf numFmtId="175" fontId="3" fillId="0" borderId="0" xfId="48" applyNumberFormat="1" applyFont="1" applyFill="1" applyBorder="1">
      <alignment/>
      <protection/>
    </xf>
    <xf numFmtId="43" fontId="11" fillId="0" borderId="0" xfId="44" applyFont="1" applyFill="1" applyAlignment="1">
      <alignment/>
    </xf>
    <xf numFmtId="0" fontId="72" fillId="33" borderId="0" xfId="0" applyFont="1" applyFill="1" applyAlignment="1">
      <alignment horizontal="left"/>
    </xf>
    <xf numFmtId="0" fontId="72" fillId="33" borderId="0" xfId="0" applyFont="1" applyFill="1" applyAlignment="1">
      <alignment/>
    </xf>
    <xf numFmtId="0" fontId="53" fillId="33" borderId="0" xfId="0" applyFont="1" applyFill="1" applyAlignment="1">
      <alignment/>
    </xf>
    <xf numFmtId="0" fontId="53" fillId="33" borderId="0" xfId="0" applyFont="1" applyFill="1" applyAlignment="1">
      <alignment horizontal="center"/>
    </xf>
    <xf numFmtId="171" fontId="53" fillId="33" borderId="0" xfId="42" applyFont="1" applyFill="1" applyAlignment="1">
      <alignment/>
    </xf>
    <xf numFmtId="171" fontId="53" fillId="0" borderId="0" xfId="0" applyNumberFormat="1" applyFont="1" applyAlignment="1">
      <alignment/>
    </xf>
    <xf numFmtId="0" fontId="72" fillId="0" borderId="0" xfId="0" applyFont="1" applyFill="1" applyAlignment="1">
      <alignment horizontal="left"/>
    </xf>
    <xf numFmtId="0" fontId="73" fillId="0" borderId="0" xfId="0" applyFont="1" applyFill="1" applyAlignment="1">
      <alignment horizontal="left"/>
    </xf>
    <xf numFmtId="43" fontId="72" fillId="0" borderId="0" xfId="0" applyNumberFormat="1" applyFont="1" applyFill="1" applyAlignment="1">
      <alignment/>
    </xf>
    <xf numFmtId="43" fontId="53" fillId="0" borderId="0" xfId="0" applyNumberFormat="1" applyFont="1" applyAlignment="1">
      <alignment/>
    </xf>
    <xf numFmtId="43" fontId="73" fillId="0" borderId="0" xfId="0" applyNumberFormat="1" applyFont="1" applyFill="1" applyBorder="1" applyAlignment="1">
      <alignment/>
    </xf>
    <xf numFmtId="43" fontId="73" fillId="0" borderId="0" xfId="44" applyFont="1" applyFill="1" applyBorder="1" applyAlignment="1">
      <alignment/>
    </xf>
    <xf numFmtId="0" fontId="69" fillId="0" borderId="0" xfId="0" applyFont="1" applyFill="1" applyAlignment="1">
      <alignment/>
    </xf>
    <xf numFmtId="0" fontId="69" fillId="0" borderId="13" xfId="0" applyFont="1" applyFill="1" applyBorder="1" applyAlignment="1">
      <alignment/>
    </xf>
    <xf numFmtId="1" fontId="6" fillId="0" borderId="0" xfId="59" applyNumberFormat="1" applyFont="1" applyFill="1" applyBorder="1" applyAlignment="1" applyProtection="1">
      <alignment horizontal="right" vertical="center"/>
      <protection/>
    </xf>
    <xf numFmtId="1" fontId="3" fillId="0" borderId="0" xfId="59" applyNumberFormat="1" applyFont="1" applyFill="1" applyBorder="1" applyAlignment="1">
      <alignment horizontal="right"/>
      <protection/>
    </xf>
    <xf numFmtId="1" fontId="3" fillId="0" borderId="0" xfId="48" applyNumberFormat="1" applyFont="1" applyFill="1" applyBorder="1" applyAlignment="1">
      <alignment horizontal="justify" vertical="justify" wrapText="1"/>
      <protection/>
    </xf>
    <xf numFmtId="0" fontId="6" fillId="0" borderId="16" xfId="48" applyFont="1" applyFill="1" applyBorder="1" applyAlignment="1">
      <alignment horizontal="center"/>
      <protection/>
    </xf>
    <xf numFmtId="171" fontId="66" fillId="0" borderId="13" xfId="42" applyFont="1" applyFill="1" applyBorder="1" applyAlignment="1">
      <alignment/>
    </xf>
    <xf numFmtId="171" fontId="53" fillId="34" borderId="0" xfId="42" applyFont="1" applyFill="1" applyAlignment="1">
      <alignment/>
    </xf>
    <xf numFmtId="171" fontId="53" fillId="34" borderId="0" xfId="42" applyFont="1" applyFill="1" applyBorder="1" applyAlignment="1">
      <alignment/>
    </xf>
    <xf numFmtId="171" fontId="53" fillId="35" borderId="0" xfId="42" applyFont="1" applyFill="1" applyAlignment="1">
      <alignment/>
    </xf>
    <xf numFmtId="0" fontId="3" fillId="0" borderId="0" xfId="59" applyFont="1" applyFill="1" applyBorder="1">
      <alignment/>
      <protection/>
    </xf>
    <xf numFmtId="0" fontId="3" fillId="0" borderId="0" xfId="48" applyFont="1" applyFill="1" applyBorder="1" applyAlignment="1">
      <alignment horizontal="left"/>
      <protection/>
    </xf>
    <xf numFmtId="0" fontId="3" fillId="0" borderId="12" xfId="48" applyFont="1" applyFill="1" applyBorder="1" applyAlignment="1">
      <alignment horizontal="center"/>
      <protection/>
    </xf>
    <xf numFmtId="0" fontId="7" fillId="0" borderId="12" xfId="48" applyFont="1" applyFill="1" applyBorder="1">
      <alignment/>
      <protection/>
    </xf>
    <xf numFmtId="0" fontId="6" fillId="0" borderId="12" xfId="48" applyFont="1" applyFill="1" applyBorder="1" applyAlignment="1">
      <alignment/>
      <protection/>
    </xf>
    <xf numFmtId="0" fontId="3" fillId="0" borderId="12" xfId="48" applyFont="1" applyFill="1" applyBorder="1" applyAlignment="1">
      <alignment/>
      <protection/>
    </xf>
    <xf numFmtId="0" fontId="6" fillId="0" borderId="12" xfId="48" applyFont="1" applyFill="1" applyBorder="1" applyAlignment="1">
      <alignment horizontal="center"/>
      <protection/>
    </xf>
    <xf numFmtId="0" fontId="6" fillId="0" borderId="12" xfId="48" applyFont="1" applyFill="1" applyBorder="1">
      <alignment/>
      <protection/>
    </xf>
    <xf numFmtId="0" fontId="3" fillId="0" borderId="12" xfId="48" applyFont="1" applyFill="1" applyBorder="1" applyAlignment="1">
      <alignment horizontal="left" vertical="top"/>
      <protection/>
    </xf>
    <xf numFmtId="0" fontId="3" fillId="0" borderId="17" xfId="48" applyFont="1" applyFill="1" applyBorder="1">
      <alignment/>
      <protection/>
    </xf>
    <xf numFmtId="0" fontId="3" fillId="0" borderId="11" xfId="48" applyFont="1" applyFill="1" applyBorder="1">
      <alignment/>
      <protection/>
    </xf>
    <xf numFmtId="0" fontId="6" fillId="0" borderId="11" xfId="48" applyFont="1" applyFill="1" applyBorder="1" applyAlignment="1">
      <alignment horizontal="center"/>
      <protection/>
    </xf>
    <xf numFmtId="0" fontId="6" fillId="0" borderId="18" xfId="48" applyFont="1" applyFill="1" applyBorder="1" applyAlignment="1">
      <alignment/>
      <protection/>
    </xf>
    <xf numFmtId="0" fontId="6" fillId="0" borderId="18" xfId="48" applyFont="1" applyFill="1" applyBorder="1" applyAlignment="1">
      <alignment horizontal="center"/>
      <protection/>
    </xf>
    <xf numFmtId="175" fontId="6" fillId="0" borderId="0" xfId="42" applyNumberFormat="1" applyFont="1" applyFill="1" applyBorder="1" applyAlignment="1">
      <alignment horizontal="right"/>
    </xf>
    <xf numFmtId="175" fontId="6" fillId="0" borderId="14" xfId="42" applyNumberFormat="1" applyFont="1" applyFill="1" applyBorder="1" applyAlignment="1">
      <alignment horizontal="center" wrapText="1"/>
    </xf>
    <xf numFmtId="175" fontId="6" fillId="0" borderId="10" xfId="42" applyNumberFormat="1" applyFont="1" applyFill="1" applyBorder="1" applyAlignment="1">
      <alignment horizontal="center" wrapText="1"/>
    </xf>
    <xf numFmtId="175" fontId="6" fillId="0" borderId="0" xfId="42" applyNumberFormat="1" applyFont="1" applyFill="1" applyBorder="1" applyAlignment="1">
      <alignment horizontal="center" wrapText="1"/>
    </xf>
    <xf numFmtId="175" fontId="3" fillId="0" borderId="11" xfId="42" applyNumberFormat="1" applyFont="1" applyFill="1" applyBorder="1" applyAlignment="1">
      <alignment horizontal="center" wrapText="1"/>
    </xf>
    <xf numFmtId="175" fontId="6" fillId="0" borderId="0" xfId="42" applyNumberFormat="1" applyFont="1" applyFill="1" applyBorder="1" applyAlignment="1">
      <alignment/>
    </xf>
    <xf numFmtId="175" fontId="3" fillId="0" borderId="11" xfId="42" applyNumberFormat="1" applyFont="1" applyFill="1" applyBorder="1" applyAlignment="1">
      <alignment wrapText="1"/>
    </xf>
    <xf numFmtId="175" fontId="3" fillId="0" borderId="11" xfId="42" applyNumberFormat="1" applyFont="1" applyFill="1" applyBorder="1" applyAlignment="1">
      <alignment/>
    </xf>
    <xf numFmtId="175" fontId="6" fillId="0" borderId="11" xfId="42" applyNumberFormat="1" applyFont="1" applyFill="1" applyBorder="1" applyAlignment="1">
      <alignment/>
    </xf>
    <xf numFmtId="175" fontId="6" fillId="0" borderId="0" xfId="42" applyNumberFormat="1" applyFont="1" applyFill="1" applyBorder="1" applyAlignment="1">
      <alignment/>
    </xf>
    <xf numFmtId="175" fontId="6" fillId="0" borderId="19" xfId="42" applyNumberFormat="1" applyFont="1" applyFill="1" applyBorder="1" applyAlignment="1">
      <alignment/>
    </xf>
    <xf numFmtId="175" fontId="3" fillId="0" borderId="20" xfId="42" applyNumberFormat="1" applyFont="1" applyFill="1" applyBorder="1" applyAlignment="1">
      <alignment/>
    </xf>
    <xf numFmtId="175" fontId="3" fillId="0" borderId="0" xfId="42" applyNumberFormat="1" applyFont="1" applyFill="1" applyBorder="1" applyAlignment="1">
      <alignment/>
    </xf>
    <xf numFmtId="175" fontId="3" fillId="0" borderId="11" xfId="42" applyNumberFormat="1" applyFont="1" applyFill="1" applyBorder="1" applyAlignment="1">
      <alignment/>
    </xf>
    <xf numFmtId="175" fontId="6" fillId="0" borderId="0" xfId="42" applyNumberFormat="1" applyFont="1" applyFill="1" applyBorder="1" applyAlignment="1">
      <alignment horizontal="center"/>
    </xf>
    <xf numFmtId="3" fontId="6" fillId="0" borderId="0" xfId="48" applyNumberFormat="1" applyFont="1" applyFill="1" applyBorder="1" applyAlignment="1">
      <alignment horizontal="center" wrapText="1"/>
      <protection/>
    </xf>
    <xf numFmtId="0" fontId="3" fillId="0" borderId="0" xfId="48" applyFont="1" applyFill="1" applyBorder="1" applyAlignment="1">
      <alignment horizontal="center" wrapText="1"/>
      <protection/>
    </xf>
    <xf numFmtId="0" fontId="6" fillId="0" borderId="0" xfId="48" applyFont="1" applyFill="1" applyBorder="1" applyAlignment="1">
      <alignment vertical="center"/>
      <protection/>
    </xf>
    <xf numFmtId="0" fontId="3" fillId="0" borderId="0" xfId="48" applyFont="1" applyFill="1" applyBorder="1" applyAlignment="1">
      <alignment horizontal="left" wrapText="1"/>
      <protection/>
    </xf>
    <xf numFmtId="3" fontId="6" fillId="0" borderId="10" xfId="48" applyNumberFormat="1" applyFont="1" applyFill="1" applyBorder="1" applyAlignment="1">
      <alignment horizontal="center" vertical="center"/>
      <protection/>
    </xf>
    <xf numFmtId="3" fontId="3" fillId="0" borderId="17" xfId="48" applyNumberFormat="1" applyFont="1" applyFill="1" applyBorder="1" applyAlignment="1">
      <alignment horizontal="center" wrapText="1"/>
      <protection/>
    </xf>
    <xf numFmtId="0" fontId="3" fillId="0" borderId="12" xfId="48" applyFont="1" applyFill="1" applyBorder="1" applyAlignment="1">
      <alignment vertical="top"/>
      <protection/>
    </xf>
    <xf numFmtId="0" fontId="6" fillId="0" borderId="12" xfId="48" applyFont="1" applyFill="1" applyBorder="1" applyAlignment="1">
      <alignment horizontal="left"/>
      <protection/>
    </xf>
    <xf numFmtId="0" fontId="3" fillId="0" borderId="21" xfId="48" applyFont="1" applyFill="1" applyBorder="1">
      <alignment/>
      <protection/>
    </xf>
    <xf numFmtId="0" fontId="3" fillId="0" borderId="22" xfId="48" applyFont="1" applyFill="1" applyBorder="1">
      <alignment/>
      <protection/>
    </xf>
    <xf numFmtId="0" fontId="6" fillId="0" borderId="11" xfId="48" applyFont="1" applyFill="1" applyBorder="1" applyAlignment="1">
      <alignment vertical="center"/>
      <protection/>
    </xf>
    <xf numFmtId="0" fontId="3" fillId="0" borderId="11" xfId="48" applyFont="1" applyFill="1" applyBorder="1" applyAlignment="1">
      <alignment wrapText="1"/>
      <protection/>
    </xf>
    <xf numFmtId="0" fontId="6" fillId="0" borderId="11" xfId="48" applyFont="1" applyFill="1" applyBorder="1" applyAlignment="1">
      <alignment horizontal="right"/>
      <protection/>
    </xf>
    <xf numFmtId="0" fontId="3" fillId="0" borderId="11" xfId="48" applyFont="1" applyFill="1" applyBorder="1" applyAlignment="1">
      <alignment vertical="top"/>
      <protection/>
    </xf>
    <xf numFmtId="0" fontId="6" fillId="0" borderId="11" xfId="48" applyFont="1" applyFill="1" applyBorder="1" applyAlignment="1">
      <alignment horizontal="left"/>
      <protection/>
    </xf>
    <xf numFmtId="0" fontId="3" fillId="0" borderId="11" xfId="48" applyFont="1" applyFill="1" applyBorder="1" applyAlignment="1">
      <alignment horizontal="left" vertical="top" indent="1"/>
      <protection/>
    </xf>
    <xf numFmtId="0" fontId="3" fillId="0" borderId="18" xfId="48" applyFont="1" applyFill="1" applyBorder="1">
      <alignment/>
      <protection/>
    </xf>
    <xf numFmtId="175" fontId="6" fillId="0" borderId="10" xfId="42" applyNumberFormat="1" applyFont="1" applyFill="1" applyBorder="1" applyAlignment="1">
      <alignment horizontal="center" vertical="center"/>
    </xf>
    <xf numFmtId="175" fontId="6" fillId="0" borderId="23" xfId="42" applyNumberFormat="1" applyFont="1" applyFill="1" applyBorder="1" applyAlignment="1">
      <alignment/>
    </xf>
    <xf numFmtId="175" fontId="3" fillId="0" borderId="17" xfId="42" applyNumberFormat="1" applyFont="1" applyFill="1" applyBorder="1" applyAlignment="1">
      <alignment/>
    </xf>
    <xf numFmtId="175" fontId="6" fillId="0" borderId="11" xfId="42" applyNumberFormat="1" applyFont="1" applyFill="1" applyBorder="1" applyAlignment="1">
      <alignment horizontal="right"/>
    </xf>
    <xf numFmtId="175" fontId="3" fillId="0" borderId="17" xfId="42" applyNumberFormat="1" applyFont="1" applyFill="1" applyBorder="1" applyAlignment="1">
      <alignment horizontal="right"/>
    </xf>
    <xf numFmtId="175" fontId="3" fillId="0" borderId="22" xfId="42" applyNumberFormat="1" applyFont="1" applyFill="1" applyBorder="1" applyAlignment="1">
      <alignment/>
    </xf>
    <xf numFmtId="175" fontId="6" fillId="0" borderId="20" xfId="42" applyNumberFormat="1" applyFont="1" applyFill="1" applyBorder="1" applyAlignment="1">
      <alignment/>
    </xf>
    <xf numFmtId="175" fontId="3" fillId="0" borderId="24" xfId="42" applyNumberFormat="1" applyFont="1" applyFill="1" applyBorder="1" applyAlignment="1">
      <alignment/>
    </xf>
    <xf numFmtId="0" fontId="3" fillId="0" borderId="0" xfId="48" applyFont="1" applyFill="1" applyBorder="1" applyAlignment="1">
      <alignment horizontal="justify" wrapText="1"/>
      <protection/>
    </xf>
    <xf numFmtId="0" fontId="6" fillId="0" borderId="0" xfId="48" applyFont="1" applyFill="1" applyBorder="1" applyAlignment="1">
      <alignment horizontal="left" vertical="center"/>
      <protection/>
    </xf>
    <xf numFmtId="175" fontId="6" fillId="0" borderId="0" xfId="42" applyNumberFormat="1" applyFont="1" applyFill="1" applyBorder="1" applyAlignment="1">
      <alignment horizontal="right" vertical="center"/>
    </xf>
    <xf numFmtId="0" fontId="7" fillId="0" borderId="0" xfId="48" applyFont="1" applyFill="1" applyBorder="1" applyAlignment="1">
      <alignment vertical="top"/>
      <protection/>
    </xf>
    <xf numFmtId="0" fontId="6" fillId="0" borderId="0" xfId="0" applyFont="1" applyFill="1" applyBorder="1" applyAlignment="1">
      <alignment horizontal="left" wrapText="1"/>
    </xf>
    <xf numFmtId="0" fontId="6" fillId="0" borderId="0" xfId="0" applyFont="1" applyFill="1" applyBorder="1" applyAlignment="1">
      <alignment wrapText="1"/>
    </xf>
    <xf numFmtId="0" fontId="7" fillId="0" borderId="0" xfId="48" applyFont="1" applyFill="1" applyBorder="1" applyAlignment="1">
      <alignment horizontal="left" wrapText="1"/>
      <protection/>
    </xf>
    <xf numFmtId="4" fontId="6" fillId="0" borderId="0" xfId="48" applyNumberFormat="1" applyFont="1" applyFill="1" applyBorder="1" applyAlignment="1">
      <alignment horizontal="center" vertical="center" wrapText="1"/>
      <protection/>
    </xf>
    <xf numFmtId="0" fontId="7" fillId="0" borderId="0" xfId="48" applyFont="1" applyFill="1" applyBorder="1" applyAlignment="1">
      <alignment horizontal="left"/>
      <protection/>
    </xf>
    <xf numFmtId="0" fontId="7" fillId="0" borderId="25" xfId="48" applyFont="1" applyFill="1" applyBorder="1" applyAlignment="1">
      <alignment horizontal="justify" wrapText="1"/>
      <protection/>
    </xf>
    <xf numFmtId="0" fontId="7" fillId="0" borderId="12" xfId="48" applyFont="1" applyFill="1" applyBorder="1" applyAlignment="1">
      <alignment horizontal="justify" wrapText="1"/>
      <protection/>
    </xf>
    <xf numFmtId="0" fontId="3" fillId="0" borderId="12" xfId="48" applyFont="1" applyFill="1" applyBorder="1" applyAlignment="1">
      <alignment horizontal="justify" wrapText="1"/>
      <protection/>
    </xf>
    <xf numFmtId="0" fontId="3" fillId="0" borderId="12" xfId="48" applyFont="1" applyFill="1" applyBorder="1" applyAlignment="1">
      <alignment horizontal="left" wrapText="1"/>
      <protection/>
    </xf>
    <xf numFmtId="0" fontId="6" fillId="0" borderId="12" xfId="48" applyFont="1" applyFill="1" applyBorder="1" applyAlignment="1">
      <alignment horizontal="center" wrapText="1"/>
      <protection/>
    </xf>
    <xf numFmtId="0" fontId="6" fillId="0" borderId="26" xfId="48" applyFont="1" applyFill="1" applyBorder="1" applyAlignment="1">
      <alignment horizontal="center" wrapText="1"/>
      <protection/>
    </xf>
    <xf numFmtId="0" fontId="3" fillId="0" borderId="25" xfId="48" applyFont="1" applyFill="1" applyBorder="1" applyAlignment="1">
      <alignment horizontal="left" wrapText="1"/>
      <protection/>
    </xf>
    <xf numFmtId="0" fontId="3" fillId="0" borderId="26" xfId="48" applyFont="1" applyFill="1" applyBorder="1" applyAlignment="1">
      <alignment horizontal="left" wrapText="1"/>
      <protection/>
    </xf>
    <xf numFmtId="0" fontId="3" fillId="0" borderId="10" xfId="48" applyFont="1" applyFill="1" applyBorder="1" applyAlignment="1">
      <alignment horizontal="center" vertical="center" wrapText="1"/>
      <protection/>
    </xf>
    <xf numFmtId="0" fontId="3" fillId="0" borderId="23" xfId="48" applyFont="1" applyFill="1" applyBorder="1" applyAlignment="1">
      <alignment horizontal="left" wrapText="1"/>
      <protection/>
    </xf>
    <xf numFmtId="0" fontId="3" fillId="0" borderId="11" xfId="48" applyFont="1" applyFill="1" applyBorder="1" applyAlignment="1">
      <alignment horizontal="left" wrapText="1"/>
      <protection/>
    </xf>
    <xf numFmtId="0" fontId="3" fillId="0" borderId="18" xfId="48" applyFont="1" applyFill="1" applyBorder="1" applyAlignment="1">
      <alignment horizontal="left" wrapText="1"/>
      <protection/>
    </xf>
    <xf numFmtId="0" fontId="7" fillId="0" borderId="0" xfId="48" applyFont="1" applyFill="1" applyBorder="1" applyAlignment="1">
      <alignment vertical="center"/>
      <protection/>
    </xf>
    <xf numFmtId="0" fontId="6" fillId="0" borderId="12" xfId="48" applyFont="1" applyFill="1" applyBorder="1" applyAlignment="1">
      <alignment horizontal="justify" wrapText="1"/>
      <protection/>
    </xf>
    <xf numFmtId="0" fontId="6" fillId="0" borderId="26" xfId="48" applyFont="1" applyFill="1" applyBorder="1" applyAlignment="1">
      <alignment horizontal="center"/>
      <protection/>
    </xf>
    <xf numFmtId="0" fontId="6" fillId="0" borderId="11" xfId="48" applyFont="1" applyFill="1" applyBorder="1" applyAlignment="1">
      <alignment horizontal="justify" wrapText="1"/>
      <protection/>
    </xf>
    <xf numFmtId="0" fontId="6" fillId="0" borderId="11" xfId="48" applyFont="1" applyFill="1" applyBorder="1">
      <alignment/>
      <protection/>
    </xf>
    <xf numFmtId="0" fontId="3" fillId="0" borderId="11" xfId="48" applyFont="1" applyFill="1" applyBorder="1" applyAlignment="1">
      <alignment horizontal="justify" wrapText="1"/>
      <protection/>
    </xf>
    <xf numFmtId="175" fontId="3" fillId="0" borderId="10" xfId="42" applyNumberFormat="1" applyFont="1" applyFill="1" applyBorder="1" applyAlignment="1">
      <alignment horizontal="center" vertical="center"/>
    </xf>
    <xf numFmtId="175" fontId="3" fillId="0" borderId="10" xfId="42" applyNumberFormat="1" applyFont="1" applyFill="1" applyBorder="1" applyAlignment="1">
      <alignment horizontal="center" wrapText="1"/>
    </xf>
    <xf numFmtId="175" fontId="6" fillId="0" borderId="23" xfId="42" applyNumberFormat="1" applyFont="1" applyFill="1" applyBorder="1" applyAlignment="1">
      <alignment horizontal="right"/>
    </xf>
    <xf numFmtId="175" fontId="6" fillId="0" borderId="15" xfId="42" applyNumberFormat="1" applyFont="1" applyFill="1" applyBorder="1" applyAlignment="1">
      <alignment horizontal="right"/>
    </xf>
    <xf numFmtId="175" fontId="3" fillId="0" borderId="27" xfId="42" applyNumberFormat="1" applyFont="1" applyFill="1" applyBorder="1" applyAlignment="1">
      <alignment horizontal="right"/>
    </xf>
    <xf numFmtId="175" fontId="6" fillId="0" borderId="18" xfId="42" applyNumberFormat="1" applyFont="1" applyFill="1" applyBorder="1" applyAlignment="1">
      <alignment/>
    </xf>
    <xf numFmtId="175" fontId="3" fillId="0" borderId="21" xfId="42" applyNumberFormat="1" applyFont="1" applyFill="1" applyBorder="1" applyAlignment="1">
      <alignment/>
    </xf>
    <xf numFmtId="175" fontId="6" fillId="0" borderId="10" xfId="42" applyNumberFormat="1" applyFont="1" applyFill="1" applyBorder="1" applyAlignment="1">
      <alignment horizontal="center" vertical="center" wrapText="1"/>
    </xf>
    <xf numFmtId="175" fontId="3" fillId="0" borderId="10" xfId="42" applyNumberFormat="1" applyFont="1" applyFill="1" applyBorder="1" applyAlignment="1">
      <alignment horizontal="center" vertical="center" wrapText="1"/>
    </xf>
    <xf numFmtId="175" fontId="6" fillId="0" borderId="23" xfId="42" applyNumberFormat="1" applyFont="1" applyFill="1" applyBorder="1" applyAlignment="1">
      <alignment horizontal="center" vertical="center"/>
    </xf>
    <xf numFmtId="175" fontId="3" fillId="0" borderId="23" xfId="42" applyNumberFormat="1" applyFont="1" applyFill="1" applyBorder="1" applyAlignment="1">
      <alignment horizontal="center" vertical="center"/>
    </xf>
    <xf numFmtId="175" fontId="6" fillId="0" borderId="11" xfId="42" applyNumberFormat="1" applyFont="1" applyFill="1" applyBorder="1" applyAlignment="1">
      <alignment horizontal="center"/>
    </xf>
    <xf numFmtId="175" fontId="3" fillId="0" borderId="11" xfId="42" applyNumberFormat="1" applyFont="1" applyFill="1" applyBorder="1" applyAlignment="1">
      <alignment horizontal="center" vertical="center"/>
    </xf>
    <xf numFmtId="175" fontId="6" fillId="0" borderId="11" xfId="42" applyNumberFormat="1" applyFont="1" applyFill="1" applyBorder="1" applyAlignment="1">
      <alignment horizontal="center" vertical="center"/>
    </xf>
    <xf numFmtId="175" fontId="6" fillId="0" borderId="18" xfId="42" applyNumberFormat="1" applyFont="1" applyFill="1" applyBorder="1" applyAlignment="1">
      <alignment horizontal="center"/>
    </xf>
    <xf numFmtId="175" fontId="3" fillId="0" borderId="18" xfId="42" applyNumberFormat="1" applyFont="1" applyFill="1" applyBorder="1" applyAlignment="1">
      <alignment horizontal="center" vertical="center"/>
    </xf>
    <xf numFmtId="175" fontId="3" fillId="0" borderId="0" xfId="42" applyNumberFormat="1" applyFont="1" applyFill="1" applyBorder="1" applyAlignment="1">
      <alignment horizontal="left" vertical="top" wrapText="1"/>
    </xf>
    <xf numFmtId="175" fontId="6" fillId="0" borderId="0" xfId="42" applyNumberFormat="1" applyFont="1" applyFill="1" applyBorder="1" applyAlignment="1">
      <alignment horizontal="center" vertical="center" wrapText="1"/>
    </xf>
    <xf numFmtId="175" fontId="7" fillId="0" borderId="0" xfId="42" applyNumberFormat="1" applyFont="1" applyFill="1" applyBorder="1" applyAlignment="1">
      <alignment horizontal="justify" vertical="justify" wrapText="1"/>
    </xf>
    <xf numFmtId="175" fontId="7" fillId="0" borderId="0" xfId="42" applyNumberFormat="1" applyFont="1" applyFill="1" applyBorder="1" applyAlignment="1">
      <alignment vertical="center"/>
    </xf>
    <xf numFmtId="175" fontId="3" fillId="0" borderId="27" xfId="42" applyNumberFormat="1" applyFont="1" applyFill="1" applyBorder="1" applyAlignment="1">
      <alignment/>
    </xf>
    <xf numFmtId="175" fontId="3" fillId="0" borderId="23" xfId="42" applyNumberFormat="1" applyFont="1" applyFill="1" applyBorder="1" applyAlignment="1">
      <alignment horizontal="right"/>
    </xf>
    <xf numFmtId="175" fontId="3" fillId="0" borderId="11" xfId="42" applyNumberFormat="1" applyFont="1" applyFill="1" applyBorder="1" applyAlignment="1">
      <alignment horizontal="right"/>
    </xf>
    <xf numFmtId="175" fontId="6" fillId="0" borderId="20" xfId="42" applyNumberFormat="1" applyFont="1" applyFill="1" applyBorder="1" applyAlignment="1">
      <alignment horizontal="right"/>
    </xf>
    <xf numFmtId="175" fontId="3" fillId="0" borderId="20" xfId="42" applyNumberFormat="1" applyFont="1" applyFill="1" applyBorder="1" applyAlignment="1">
      <alignment horizontal="right"/>
    </xf>
    <xf numFmtId="175" fontId="6" fillId="0" borderId="0" xfId="42" applyNumberFormat="1" applyFont="1" applyFill="1" applyBorder="1" applyAlignment="1">
      <alignment horizontal="right" vertical="center" wrapText="1"/>
    </xf>
    <xf numFmtId="175" fontId="3" fillId="0" borderId="0" xfId="42" applyNumberFormat="1" applyFont="1" applyFill="1" applyBorder="1" applyAlignment="1">
      <alignment horizontal="right" vertical="center"/>
    </xf>
    <xf numFmtId="175" fontId="3" fillId="0" borderId="0" xfId="42" applyNumberFormat="1" applyFont="1" applyFill="1" applyBorder="1" applyAlignment="1">
      <alignment horizontal="right"/>
    </xf>
    <xf numFmtId="171" fontId="6" fillId="0" borderId="23" xfId="42" applyNumberFormat="1" applyFont="1" applyFill="1" applyBorder="1" applyAlignment="1">
      <alignment horizontal="center" vertical="center"/>
    </xf>
    <xf numFmtId="171" fontId="3" fillId="0" borderId="23" xfId="42" applyNumberFormat="1" applyFont="1" applyFill="1" applyBorder="1" applyAlignment="1">
      <alignment horizontal="center" vertical="center"/>
    </xf>
    <xf numFmtId="171" fontId="6" fillId="0" borderId="11" xfId="42" applyNumberFormat="1" applyFont="1" applyFill="1" applyBorder="1" applyAlignment="1">
      <alignment horizontal="center" vertical="center"/>
    </xf>
    <xf numFmtId="171" fontId="3" fillId="0" borderId="11" xfId="42" applyNumberFormat="1" applyFont="1" applyFill="1" applyBorder="1" applyAlignment="1">
      <alignment horizontal="center" vertical="center"/>
    </xf>
    <xf numFmtId="171" fontId="6" fillId="0" borderId="18" xfId="42" applyNumberFormat="1" applyFont="1" applyFill="1" applyBorder="1" applyAlignment="1">
      <alignment horizontal="center" vertical="center"/>
    </xf>
    <xf numFmtId="171" fontId="3" fillId="0" borderId="18" xfId="42" applyNumberFormat="1" applyFont="1" applyFill="1" applyBorder="1" applyAlignment="1">
      <alignment horizontal="center" vertical="center"/>
    </xf>
    <xf numFmtId="175" fontId="3" fillId="0" borderId="23" xfId="42" applyNumberFormat="1" applyFont="1" applyFill="1" applyBorder="1" applyAlignment="1">
      <alignment/>
    </xf>
    <xf numFmtId="175" fontId="6" fillId="0" borderId="23" xfId="42" applyNumberFormat="1" applyFont="1" applyFill="1" applyBorder="1" applyAlignment="1">
      <alignment horizontal="center"/>
    </xf>
    <xf numFmtId="175" fontId="3" fillId="0" borderId="11" xfId="42" applyNumberFormat="1" applyFont="1" applyFill="1" applyBorder="1" applyAlignment="1">
      <alignment horizontal="center"/>
    </xf>
    <xf numFmtId="0" fontId="6" fillId="0" borderId="25" xfId="48" applyFont="1" applyFill="1" applyBorder="1" applyAlignment="1">
      <alignment horizontal="left"/>
      <protection/>
    </xf>
    <xf numFmtId="0" fontId="3" fillId="0" borderId="12" xfId="48" applyFont="1" applyFill="1" applyBorder="1" applyAlignment="1">
      <alignment horizontal="left"/>
      <protection/>
    </xf>
    <xf numFmtId="0" fontId="3" fillId="0" borderId="12" xfId="48" applyNumberFormat="1" applyFont="1" applyFill="1" applyBorder="1" applyAlignment="1">
      <alignment horizontal="left" indent="2"/>
      <protection/>
    </xf>
    <xf numFmtId="0" fontId="3" fillId="0" borderId="12" xfId="48" applyFont="1" applyFill="1" applyBorder="1" applyAlignment="1">
      <alignment horizontal="left" indent="2"/>
      <protection/>
    </xf>
    <xf numFmtId="0" fontId="3" fillId="0" borderId="26" xfId="48" applyFont="1" applyFill="1" applyBorder="1" applyAlignment="1">
      <alignment/>
      <protection/>
    </xf>
    <xf numFmtId="0" fontId="3" fillId="0" borderId="17" xfId="48" applyFont="1" applyFill="1" applyBorder="1" applyAlignment="1">
      <alignment/>
      <protection/>
    </xf>
    <xf numFmtId="175" fontId="3" fillId="0" borderId="17" xfId="42" applyNumberFormat="1" applyFont="1" applyFill="1" applyBorder="1" applyAlignment="1">
      <alignment horizontal="left"/>
    </xf>
    <xf numFmtId="0" fontId="3" fillId="0" borderId="11" xfId="48" applyFont="1" applyFill="1" applyBorder="1" applyAlignment="1">
      <alignment horizontal="left" vertical="center"/>
      <protection/>
    </xf>
    <xf numFmtId="175" fontId="6" fillId="0" borderId="11" xfId="42" applyNumberFormat="1" applyFont="1" applyFill="1" applyBorder="1" applyAlignment="1">
      <alignment horizontal="center" vertical="center" wrapText="1"/>
    </xf>
    <xf numFmtId="175" fontId="6" fillId="0" borderId="11" xfId="42" applyNumberFormat="1" applyFont="1" applyFill="1" applyBorder="1" applyAlignment="1">
      <alignment horizontal="right" vertical="center" wrapText="1"/>
    </xf>
    <xf numFmtId="175" fontId="6" fillId="0" borderId="11" xfId="42" applyNumberFormat="1" applyFont="1" applyFill="1" applyBorder="1" applyAlignment="1">
      <alignment horizontal="right" vertical="center"/>
    </xf>
    <xf numFmtId="175" fontId="3" fillId="0" borderId="11" xfId="42" applyNumberFormat="1" applyFont="1" applyFill="1" applyBorder="1" applyAlignment="1">
      <alignment horizontal="right" vertical="center"/>
    </xf>
    <xf numFmtId="0" fontId="6" fillId="0" borderId="11" xfId="48" applyFont="1" applyFill="1" applyBorder="1" applyAlignment="1">
      <alignment horizontal="center" vertical="center"/>
      <protection/>
    </xf>
    <xf numFmtId="0" fontId="6" fillId="0" borderId="11" xfId="48" applyFont="1" applyFill="1" applyBorder="1" applyAlignment="1">
      <alignment horizontal="left" vertical="center"/>
      <protection/>
    </xf>
    <xf numFmtId="0" fontId="3" fillId="0" borderId="18" xfId="48" applyFont="1" applyFill="1" applyBorder="1" applyAlignment="1">
      <alignment horizontal="left" vertical="center"/>
      <protection/>
    </xf>
    <xf numFmtId="175" fontId="6" fillId="0" borderId="18" xfId="42" applyNumberFormat="1" applyFont="1" applyFill="1" applyBorder="1" applyAlignment="1">
      <alignment horizontal="right" vertical="center" wrapText="1"/>
    </xf>
    <xf numFmtId="175" fontId="6" fillId="0" borderId="18" xfId="42" applyNumberFormat="1" applyFont="1" applyFill="1" applyBorder="1" applyAlignment="1">
      <alignment horizontal="right" vertical="center"/>
    </xf>
    <xf numFmtId="175" fontId="3" fillId="0" borderId="18" xfId="42" applyNumberFormat="1" applyFont="1" applyFill="1" applyBorder="1" applyAlignment="1">
      <alignment horizontal="right" vertical="center"/>
    </xf>
    <xf numFmtId="175" fontId="3" fillId="0" borderId="0" xfId="42" applyNumberFormat="1" applyFont="1" applyFill="1" applyBorder="1" applyAlignment="1">
      <alignment horizontal="center" vertical="center" wrapText="1"/>
    </xf>
    <xf numFmtId="175" fontId="3" fillId="0" borderId="23" xfId="42" applyNumberFormat="1" applyFont="1" applyFill="1" applyBorder="1" applyAlignment="1">
      <alignment horizontal="center"/>
    </xf>
    <xf numFmtId="0" fontId="7" fillId="0" borderId="11" xfId="48" applyFont="1" applyFill="1" applyBorder="1" applyAlignment="1">
      <alignment horizontal="justify" wrapText="1"/>
      <protection/>
    </xf>
    <xf numFmtId="0" fontId="3" fillId="0" borderId="12" xfId="48" applyFont="1" applyFill="1" applyBorder="1" applyAlignment="1">
      <alignment horizontal="left" vertical="center"/>
      <protection/>
    </xf>
    <xf numFmtId="0" fontId="7" fillId="0" borderId="12" xfId="48" applyFont="1" applyFill="1" applyBorder="1" applyAlignment="1">
      <alignment/>
      <protection/>
    </xf>
    <xf numFmtId="175" fontId="6" fillId="0" borderId="17" xfId="42" applyNumberFormat="1" applyFont="1" applyFill="1" applyBorder="1" applyAlignment="1">
      <alignment horizontal="right" vertical="center" wrapText="1"/>
    </xf>
    <xf numFmtId="0" fontId="7" fillId="0" borderId="17" xfId="48" applyFont="1" applyFill="1" applyBorder="1" applyAlignment="1">
      <alignment/>
      <protection/>
    </xf>
    <xf numFmtId="175" fontId="7" fillId="0" borderId="17" xfId="42" applyNumberFormat="1" applyFont="1" applyFill="1" applyBorder="1" applyAlignment="1">
      <alignment horizontal="left"/>
    </xf>
    <xf numFmtId="175" fontId="3" fillId="0" borderId="17" xfId="42" applyNumberFormat="1" applyFont="1" applyFill="1" applyBorder="1" applyAlignment="1">
      <alignment horizontal="left" indent="2"/>
    </xf>
    <xf numFmtId="2" fontId="6" fillId="0" borderId="26" xfId="48" applyNumberFormat="1" applyFont="1" applyFill="1" applyBorder="1" applyAlignment="1">
      <alignment/>
      <protection/>
    </xf>
    <xf numFmtId="2" fontId="6" fillId="0" borderId="21" xfId="48" applyNumberFormat="1" applyFont="1" applyFill="1" applyBorder="1" applyAlignment="1">
      <alignment/>
      <protection/>
    </xf>
    <xf numFmtId="2" fontId="6" fillId="0" borderId="22" xfId="48" applyNumberFormat="1" applyFont="1" applyFill="1" applyBorder="1" applyAlignment="1">
      <alignment/>
      <protection/>
    </xf>
    <xf numFmtId="175" fontId="6" fillId="0" borderId="20" xfId="42" applyNumberFormat="1" applyFont="1" applyFill="1" applyBorder="1" applyAlignment="1">
      <alignment horizontal="right" vertical="center"/>
    </xf>
    <xf numFmtId="175" fontId="3" fillId="0" borderId="20" xfId="42" applyNumberFormat="1" applyFont="1" applyFill="1" applyBorder="1" applyAlignment="1">
      <alignment horizontal="right" vertical="center"/>
    </xf>
    <xf numFmtId="0" fontId="7" fillId="0" borderId="25" xfId="48" applyFont="1" applyFill="1" applyBorder="1" applyAlignment="1">
      <alignment/>
      <protection/>
    </xf>
    <xf numFmtId="2" fontId="6" fillId="0" borderId="12" xfId="48" applyNumberFormat="1" applyFont="1" applyFill="1" applyBorder="1" applyAlignment="1">
      <alignment/>
      <protection/>
    </xf>
    <xf numFmtId="0" fontId="3" fillId="0" borderId="12" xfId="48" applyFont="1" applyFill="1" applyBorder="1" applyAlignment="1">
      <alignment vertical="center"/>
      <protection/>
    </xf>
    <xf numFmtId="175" fontId="6" fillId="0" borderId="11" xfId="42" applyNumberFormat="1" applyFont="1" applyFill="1" applyBorder="1" applyAlignment="1">
      <alignment/>
    </xf>
    <xf numFmtId="0" fontId="7" fillId="0" borderId="27" xfId="48" applyFont="1" applyFill="1" applyBorder="1" applyAlignment="1">
      <alignment/>
      <protection/>
    </xf>
    <xf numFmtId="2" fontId="6" fillId="0" borderId="17" xfId="48" applyNumberFormat="1" applyFont="1" applyFill="1" applyBorder="1" applyAlignment="1">
      <alignment/>
      <protection/>
    </xf>
    <xf numFmtId="0" fontId="3" fillId="0" borderId="17" xfId="48" applyFont="1" applyFill="1" applyBorder="1" applyAlignment="1">
      <alignment vertical="center"/>
      <protection/>
    </xf>
    <xf numFmtId="175" fontId="3" fillId="0" borderId="17" xfId="42" applyNumberFormat="1" applyFont="1" applyFill="1" applyBorder="1" applyAlignment="1">
      <alignment/>
    </xf>
    <xf numFmtId="2" fontId="6" fillId="0" borderId="0" xfId="48" applyNumberFormat="1" applyFont="1" applyFill="1" applyBorder="1" applyAlignment="1">
      <alignment horizontal="right"/>
      <protection/>
    </xf>
    <xf numFmtId="2" fontId="6" fillId="0" borderId="18" xfId="48" applyNumberFormat="1" applyFont="1" applyFill="1" applyBorder="1" applyAlignment="1">
      <alignment horizontal="right"/>
      <protection/>
    </xf>
    <xf numFmtId="0" fontId="7" fillId="0" borderId="25" xfId="48" applyFont="1" applyFill="1" applyBorder="1" applyAlignment="1">
      <alignment horizontal="left" vertical="top"/>
      <protection/>
    </xf>
    <xf numFmtId="0" fontId="6" fillId="0" borderId="12" xfId="48" applyFont="1" applyFill="1" applyBorder="1" applyAlignment="1">
      <alignment horizontal="left" vertical="top"/>
      <protection/>
    </xf>
    <xf numFmtId="0" fontId="3" fillId="0" borderId="12" xfId="48" applyFont="1" applyFill="1" applyBorder="1" applyAlignment="1" quotePrefix="1">
      <alignment horizontal="left" vertical="top"/>
      <protection/>
    </xf>
    <xf numFmtId="2" fontId="6" fillId="0" borderId="26" xfId="48" applyNumberFormat="1" applyFont="1" applyFill="1" applyBorder="1" applyAlignment="1">
      <alignment horizontal="right"/>
      <protection/>
    </xf>
    <xf numFmtId="0" fontId="3" fillId="0" borderId="27" xfId="48" applyFont="1" applyFill="1" applyBorder="1">
      <alignment/>
      <protection/>
    </xf>
    <xf numFmtId="2" fontId="6" fillId="0" borderId="11" xfId="48" applyNumberFormat="1" applyFont="1" applyFill="1" applyBorder="1" applyAlignment="1">
      <alignment horizontal="right"/>
      <protection/>
    </xf>
    <xf numFmtId="0" fontId="6" fillId="0" borderId="25" xfId="48" applyFont="1" applyFill="1" applyBorder="1" applyAlignment="1">
      <alignment horizontal="left" vertical="top"/>
      <protection/>
    </xf>
    <xf numFmtId="0" fontId="7" fillId="0" borderId="12" xfId="48" applyFont="1" applyFill="1" applyBorder="1" applyAlignment="1">
      <alignment horizontal="left" vertical="center"/>
      <protection/>
    </xf>
    <xf numFmtId="0" fontId="3" fillId="0" borderId="12" xfId="48" applyFont="1" applyFill="1" applyBorder="1" applyAlignment="1">
      <alignment horizontal="left" vertical="center" wrapText="1"/>
      <protection/>
    </xf>
    <xf numFmtId="0" fontId="3" fillId="0" borderId="12" xfId="48" applyFont="1" applyFill="1" applyBorder="1" applyAlignment="1">
      <alignment vertical="top" wrapText="1"/>
      <protection/>
    </xf>
    <xf numFmtId="0" fontId="3" fillId="0" borderId="12" xfId="48" applyFont="1" applyFill="1" applyBorder="1" applyAlignment="1">
      <alignment horizontal="justify"/>
      <protection/>
    </xf>
    <xf numFmtId="2" fontId="6" fillId="0" borderId="12" xfId="48" applyNumberFormat="1" applyFont="1" applyFill="1" applyBorder="1" applyAlignment="1">
      <alignment horizontal="right"/>
      <protection/>
    </xf>
    <xf numFmtId="0" fontId="10" fillId="0" borderId="12" xfId="48" applyFont="1" applyFill="1" applyBorder="1">
      <alignment/>
      <protection/>
    </xf>
    <xf numFmtId="0" fontId="3" fillId="0" borderId="12" xfId="0" applyFont="1" applyFill="1" applyBorder="1" applyAlignment="1">
      <alignment horizontal="left" indent="1"/>
    </xf>
    <xf numFmtId="0" fontId="6" fillId="0" borderId="12" xfId="48" applyFont="1" applyFill="1" applyBorder="1" applyAlignment="1">
      <alignment horizontal="justify"/>
      <protection/>
    </xf>
    <xf numFmtId="0" fontId="7" fillId="0" borderId="12" xfId="48" applyFont="1" applyFill="1" applyBorder="1" applyAlignment="1">
      <alignment wrapText="1"/>
      <protection/>
    </xf>
    <xf numFmtId="0" fontId="6" fillId="0" borderId="22" xfId="48" applyFont="1" applyFill="1" applyBorder="1">
      <alignment/>
      <protection/>
    </xf>
    <xf numFmtId="0" fontId="7" fillId="0" borderId="23" xfId="48" applyFont="1" applyFill="1" applyBorder="1">
      <alignment/>
      <protection/>
    </xf>
    <xf numFmtId="0" fontId="7" fillId="0" borderId="11" xfId="48" applyFont="1" applyFill="1" applyBorder="1">
      <alignment/>
      <protection/>
    </xf>
    <xf numFmtId="175" fontId="6" fillId="0" borderId="11" xfId="42" applyNumberFormat="1" applyFont="1" applyFill="1" applyBorder="1" applyAlignment="1">
      <alignment vertical="center"/>
    </xf>
    <xf numFmtId="0" fontId="7" fillId="0" borderId="25" xfId="48" applyFont="1" applyFill="1" applyBorder="1">
      <alignment/>
      <protection/>
    </xf>
    <xf numFmtId="0" fontId="3" fillId="0" borderId="12" xfId="48" applyFont="1" applyFill="1" applyBorder="1" applyAlignment="1">
      <alignment horizontal="justify" vertical="justify" wrapText="1"/>
      <protection/>
    </xf>
    <xf numFmtId="0" fontId="3" fillId="0" borderId="12" xfId="48" applyFont="1" applyFill="1" applyBorder="1" applyAlignment="1">
      <alignment vertical="center" wrapText="1"/>
      <protection/>
    </xf>
    <xf numFmtId="0" fontId="7" fillId="0" borderId="12" xfId="48" applyFont="1" applyFill="1" applyBorder="1" applyAlignment="1">
      <alignment horizontal="justify"/>
      <protection/>
    </xf>
    <xf numFmtId="0" fontId="3" fillId="0" borderId="12" xfId="48" applyFont="1" applyFill="1" applyBorder="1" applyAlignment="1">
      <alignment horizontal="justify" vertical="top"/>
      <protection/>
    </xf>
    <xf numFmtId="0" fontId="3" fillId="0" borderId="26" xfId="48" applyFont="1" applyFill="1" applyBorder="1" applyAlignment="1">
      <alignment horizontal="justify"/>
      <protection/>
    </xf>
    <xf numFmtId="175" fontId="6" fillId="0" borderId="28" xfId="42" applyNumberFormat="1" applyFont="1" applyFill="1" applyBorder="1" applyAlignment="1">
      <alignment horizontal="right"/>
    </xf>
    <xf numFmtId="175" fontId="3" fillId="0" borderId="28" xfId="42" applyNumberFormat="1" applyFont="1" applyFill="1" applyBorder="1" applyAlignment="1">
      <alignment horizontal="right"/>
    </xf>
    <xf numFmtId="175" fontId="6" fillId="0" borderId="29" xfId="42" applyNumberFormat="1" applyFont="1" applyFill="1" applyBorder="1" applyAlignment="1">
      <alignment horizontal="right"/>
    </xf>
    <xf numFmtId="175" fontId="3" fillId="0" borderId="29" xfId="42" applyNumberFormat="1" applyFont="1" applyFill="1" applyBorder="1" applyAlignment="1">
      <alignment horizontal="right"/>
    </xf>
    <xf numFmtId="49" fontId="3" fillId="0" borderId="11" xfId="48" applyNumberFormat="1" applyFont="1" applyFill="1" applyBorder="1" applyAlignment="1">
      <alignment horizontal="justify" wrapText="1"/>
      <protection/>
    </xf>
    <xf numFmtId="2" fontId="3" fillId="0" borderId="0" xfId="0" applyNumberFormat="1" applyFont="1" applyBorder="1" applyAlignment="1">
      <alignment/>
    </xf>
    <xf numFmtId="2" fontId="7" fillId="0" borderId="23" xfId="0" applyNumberFormat="1" applyFont="1" applyBorder="1" applyAlignment="1">
      <alignment/>
    </xf>
    <xf numFmtId="2" fontId="6" fillId="0" borderId="20" xfId="0" applyNumberFormat="1" applyFont="1" applyBorder="1" applyAlignment="1">
      <alignment horizontal="center"/>
    </xf>
    <xf numFmtId="175" fontId="6" fillId="0" borderId="10" xfId="42" applyNumberFormat="1" applyFont="1" applyBorder="1" applyAlignment="1">
      <alignment horizontal="center" vertical="center" wrapText="1"/>
    </xf>
    <xf numFmtId="175" fontId="3" fillId="0" borderId="23" xfId="42" applyNumberFormat="1" applyFont="1" applyBorder="1" applyAlignment="1">
      <alignment horizontal="center"/>
    </xf>
    <xf numFmtId="175" fontId="3" fillId="0" borderId="11" xfId="42" applyNumberFormat="1" applyFont="1" applyBorder="1" applyAlignment="1">
      <alignment/>
    </xf>
    <xf numFmtId="175" fontId="6" fillId="0" borderId="11" xfId="42" applyNumberFormat="1" applyFont="1" applyBorder="1" applyAlignment="1">
      <alignment/>
    </xf>
    <xf numFmtId="175" fontId="6" fillId="0" borderId="20" xfId="42" applyNumberFormat="1" applyFont="1" applyBorder="1" applyAlignment="1">
      <alignment/>
    </xf>
    <xf numFmtId="175" fontId="3" fillId="0" borderId="20" xfId="42" applyNumberFormat="1" applyFont="1" applyBorder="1" applyAlignment="1">
      <alignment/>
    </xf>
    <xf numFmtId="175" fontId="3" fillId="0" borderId="18" xfId="42" applyNumberFormat="1" applyFont="1" applyBorder="1" applyAlignment="1">
      <alignment/>
    </xf>
    <xf numFmtId="175" fontId="3" fillId="0" borderId="0" xfId="42" applyNumberFormat="1" applyFont="1" applyBorder="1" applyAlignment="1">
      <alignment/>
    </xf>
    <xf numFmtId="175" fontId="74" fillId="0" borderId="0" xfId="42" applyNumberFormat="1" applyFont="1" applyFill="1" applyAlignment="1">
      <alignment/>
    </xf>
    <xf numFmtId="175" fontId="3" fillId="0" borderId="22" xfId="42" applyNumberFormat="1" applyFont="1" applyFill="1" applyBorder="1" applyAlignment="1">
      <alignment horizontal="center"/>
    </xf>
    <xf numFmtId="1" fontId="7" fillId="0" borderId="0" xfId="48" applyNumberFormat="1" applyFont="1" applyFill="1" applyBorder="1" applyAlignment="1">
      <alignment horizontal="justify" vertical="justify" wrapText="1"/>
      <protection/>
    </xf>
    <xf numFmtId="175" fontId="6" fillId="0" borderId="30" xfId="42" applyNumberFormat="1" applyFont="1" applyFill="1" applyBorder="1" applyAlignment="1">
      <alignment/>
    </xf>
    <xf numFmtId="175" fontId="3" fillId="0" borderId="31" xfId="42" applyNumberFormat="1" applyFont="1" applyFill="1" applyBorder="1" applyAlignment="1">
      <alignment/>
    </xf>
    <xf numFmtId="175" fontId="6" fillId="0" borderId="10" xfId="42" applyNumberFormat="1" applyFont="1" applyFill="1" applyBorder="1" applyAlignment="1">
      <alignment horizontal="right" wrapText="1"/>
    </xf>
    <xf numFmtId="175" fontId="3" fillId="0" borderId="10" xfId="42" applyNumberFormat="1" applyFont="1" applyFill="1" applyBorder="1" applyAlignment="1">
      <alignment horizontal="right" wrapText="1"/>
    </xf>
    <xf numFmtId="0" fontId="3" fillId="0" borderId="12" xfId="48" applyFont="1" applyFill="1" applyBorder="1" applyAlignment="1">
      <alignment wrapText="1"/>
      <protection/>
    </xf>
    <xf numFmtId="175" fontId="6" fillId="0" borderId="10" xfId="42" applyNumberFormat="1" applyFont="1" applyFill="1" applyBorder="1" applyAlignment="1">
      <alignment horizontal="right" vertical="center" wrapText="1"/>
    </xf>
    <xf numFmtId="175" fontId="3" fillId="0" borderId="10" xfId="42" applyNumberFormat="1" applyFont="1" applyFill="1" applyBorder="1" applyAlignment="1">
      <alignment horizontal="right" vertical="center" wrapText="1"/>
    </xf>
    <xf numFmtId="175" fontId="6" fillId="0" borderId="32" xfId="42" applyNumberFormat="1" applyFont="1" applyFill="1" applyBorder="1" applyAlignment="1">
      <alignment horizontal="right"/>
    </xf>
    <xf numFmtId="175" fontId="3" fillId="0" borderId="32" xfId="42" applyNumberFormat="1" applyFont="1" applyFill="1" applyBorder="1" applyAlignment="1">
      <alignment horizontal="right"/>
    </xf>
    <xf numFmtId="3" fontId="3" fillId="0" borderId="10" xfId="48" applyNumberFormat="1" applyFont="1" applyFill="1" applyBorder="1" applyAlignment="1">
      <alignment horizontal="center" vertical="center"/>
      <protection/>
    </xf>
    <xf numFmtId="2" fontId="6" fillId="0" borderId="25" xfId="48" applyNumberFormat="1" applyFont="1" applyFill="1" applyBorder="1" applyAlignment="1">
      <alignment horizontal="left" wrapText="1"/>
      <protection/>
    </xf>
    <xf numFmtId="0" fontId="3" fillId="0" borderId="15" xfId="48" applyFont="1" applyFill="1" applyBorder="1">
      <alignment/>
      <protection/>
    </xf>
    <xf numFmtId="175" fontId="6" fillId="0" borderId="15" xfId="42" applyNumberFormat="1" applyFont="1" applyFill="1" applyBorder="1" applyAlignment="1">
      <alignment/>
    </xf>
    <xf numFmtId="2" fontId="3" fillId="0" borderId="12" xfId="48" applyNumberFormat="1" applyFont="1" applyFill="1" applyBorder="1" applyAlignment="1">
      <alignment horizontal="center"/>
      <protection/>
    </xf>
    <xf numFmtId="175" fontId="3" fillId="0" borderId="17" xfId="42" applyNumberFormat="1" applyFont="1" applyFill="1" applyBorder="1" applyAlignment="1">
      <alignment horizontal="right" vertical="center" wrapText="1"/>
    </xf>
    <xf numFmtId="2" fontId="3" fillId="0" borderId="12" xfId="48" applyNumberFormat="1" applyFont="1" applyFill="1" applyBorder="1" applyAlignment="1">
      <alignment horizontal="left"/>
      <protection/>
    </xf>
    <xf numFmtId="175" fontId="3" fillId="0" borderId="17" xfId="42" applyNumberFormat="1" applyFont="1" applyFill="1" applyBorder="1" applyAlignment="1">
      <alignment horizontal="center"/>
    </xf>
    <xf numFmtId="2" fontId="3" fillId="0" borderId="26" xfId="48" applyNumberFormat="1" applyFont="1" applyFill="1" applyBorder="1" applyAlignment="1">
      <alignment horizontal="left"/>
      <protection/>
    </xf>
    <xf numFmtId="0" fontId="3" fillId="0" borderId="21" xfId="48" applyFont="1" applyFill="1" applyBorder="1" applyAlignment="1">
      <alignment horizontal="center"/>
      <protection/>
    </xf>
    <xf numFmtId="175" fontId="6" fillId="0" borderId="21" xfId="42" applyNumberFormat="1" applyFont="1" applyFill="1" applyBorder="1" applyAlignment="1">
      <alignment horizontal="center"/>
    </xf>
    <xf numFmtId="175" fontId="3" fillId="36" borderId="11" xfId="42" applyNumberFormat="1" applyFont="1" applyFill="1" applyBorder="1" applyAlignment="1">
      <alignment horizontal="right"/>
    </xf>
    <xf numFmtId="175" fontId="6" fillId="36" borderId="11" xfId="42" applyNumberFormat="1" applyFont="1" applyFill="1" applyBorder="1" applyAlignment="1">
      <alignment horizontal="right"/>
    </xf>
    <xf numFmtId="171" fontId="6" fillId="0" borderId="11" xfId="42" applyNumberFormat="1" applyFont="1" applyFill="1" applyBorder="1" applyAlignment="1">
      <alignment horizontal="right" vertical="center"/>
    </xf>
    <xf numFmtId="2" fontId="6" fillId="0" borderId="23" xfId="0" applyNumberFormat="1" applyFont="1" applyBorder="1" applyAlignment="1">
      <alignment horizontal="left"/>
    </xf>
    <xf numFmtId="175" fontId="6" fillId="0" borderId="10" xfId="42" applyNumberFormat="1" applyFont="1" applyFill="1" applyBorder="1" applyAlignment="1">
      <alignment/>
    </xf>
    <xf numFmtId="175" fontId="3" fillId="0" borderId="33" xfId="42" applyNumberFormat="1" applyFont="1" applyFill="1" applyBorder="1" applyAlignment="1">
      <alignment/>
    </xf>
    <xf numFmtId="175" fontId="3" fillId="0" borderId="10" xfId="42" applyNumberFormat="1" applyFont="1" applyFill="1" applyBorder="1" applyAlignment="1">
      <alignment/>
    </xf>
    <xf numFmtId="1" fontId="3" fillId="0" borderId="0" xfId="59" applyNumberFormat="1" applyFont="1" applyFill="1" applyBorder="1" applyAlignment="1">
      <alignment horizontal="right"/>
      <protection/>
    </xf>
    <xf numFmtId="1" fontId="3" fillId="0" borderId="0" xfId="59" applyNumberFormat="1" applyFont="1" applyFill="1" applyBorder="1" applyAlignment="1" applyProtection="1">
      <alignment horizontal="right" vertical="center"/>
      <protection/>
    </xf>
    <xf numFmtId="1" fontId="6" fillId="0" borderId="0" xfId="59" applyNumberFormat="1" applyFont="1" applyFill="1" applyBorder="1" applyAlignment="1" applyProtection="1">
      <alignment horizontal="right" vertical="center"/>
      <protection/>
    </xf>
    <xf numFmtId="1" fontId="6" fillId="0" borderId="0" xfId="59" applyNumberFormat="1" applyFont="1" applyFill="1" applyBorder="1" applyAlignment="1">
      <alignment horizontal="right"/>
      <protection/>
    </xf>
    <xf numFmtId="175" fontId="6" fillId="0" borderId="0" xfId="42" applyNumberFormat="1" applyFont="1" applyFill="1" applyBorder="1" applyAlignment="1">
      <alignment horizontal="right"/>
    </xf>
    <xf numFmtId="1" fontId="6" fillId="0" borderId="0" xfId="59" applyNumberFormat="1" applyFont="1" applyFill="1" applyBorder="1" applyAlignment="1">
      <alignment horizontal="right" vertical="center"/>
      <protection/>
    </xf>
    <xf numFmtId="0" fontId="6" fillId="0" borderId="0" xfId="48" applyFont="1" applyFill="1" applyBorder="1" applyAlignment="1">
      <alignment horizontal="center" vertical="center"/>
      <protection/>
    </xf>
    <xf numFmtId="0" fontId="3" fillId="0" borderId="0" xfId="48" applyFont="1" applyFill="1" applyBorder="1" applyAlignment="1">
      <alignment horizontal="center"/>
      <protection/>
    </xf>
    <xf numFmtId="0" fontId="7" fillId="0" borderId="0" xfId="48" applyFont="1" applyFill="1" applyBorder="1" applyAlignment="1">
      <alignment horizontal="center" vertical="center"/>
      <protection/>
    </xf>
    <xf numFmtId="1" fontId="3" fillId="0" borderId="0" xfId="59" applyNumberFormat="1" applyFont="1" applyFill="1" applyBorder="1" applyAlignment="1">
      <alignment horizontal="left"/>
      <protection/>
    </xf>
    <xf numFmtId="1" fontId="6" fillId="0" borderId="0" xfId="59" applyNumberFormat="1" applyFont="1" applyFill="1" applyBorder="1" applyAlignment="1">
      <alignment horizontal="left" vertical="center"/>
      <protection/>
    </xf>
    <xf numFmtId="3" fontId="6" fillId="0" borderId="0" xfId="48" applyNumberFormat="1" applyFont="1" applyFill="1" applyBorder="1" applyAlignment="1">
      <alignment horizontal="right"/>
      <protection/>
    </xf>
    <xf numFmtId="0" fontId="9" fillId="0" borderId="0" xfId="48" applyFont="1" applyFill="1" applyBorder="1" applyAlignment="1">
      <alignment horizontal="center"/>
      <protection/>
    </xf>
    <xf numFmtId="175" fontId="6" fillId="0" borderId="10" xfId="42" applyNumberFormat="1" applyFont="1" applyFill="1" applyBorder="1" applyAlignment="1">
      <alignment horizontal="center"/>
    </xf>
    <xf numFmtId="0" fontId="7" fillId="0" borderId="10" xfId="48" applyFont="1" applyFill="1" applyBorder="1" applyAlignment="1">
      <alignment horizontal="left" vertical="center" wrapText="1"/>
      <protection/>
    </xf>
    <xf numFmtId="175" fontId="6" fillId="0" borderId="25" xfId="42" applyNumberFormat="1" applyFont="1" applyFill="1" applyBorder="1" applyAlignment="1">
      <alignment horizontal="center" vertical="center"/>
    </xf>
    <xf numFmtId="175" fontId="6" fillId="0" borderId="27" xfId="42" applyNumberFormat="1" applyFont="1" applyFill="1" applyBorder="1" applyAlignment="1">
      <alignment horizontal="center" vertical="center"/>
    </xf>
    <xf numFmtId="175" fontId="6" fillId="0" borderId="26" xfId="42" applyNumberFormat="1" applyFont="1" applyFill="1" applyBorder="1" applyAlignment="1">
      <alignment horizontal="center" vertical="center"/>
    </xf>
    <xf numFmtId="175" fontId="6" fillId="0" borderId="22" xfId="42" applyNumberFormat="1" applyFont="1" applyFill="1" applyBorder="1" applyAlignment="1">
      <alignment horizontal="center" vertical="center"/>
    </xf>
    <xf numFmtId="0" fontId="6" fillId="0" borderId="10" xfId="48" applyFont="1" applyFill="1" applyBorder="1" applyAlignment="1">
      <alignment horizontal="center" vertical="center"/>
      <protection/>
    </xf>
    <xf numFmtId="0" fontId="3" fillId="0" borderId="0" xfId="48" applyFont="1" applyFill="1" applyBorder="1" applyAlignment="1">
      <alignment horizontal="justify" vertical="justify"/>
      <protection/>
    </xf>
    <xf numFmtId="0" fontId="3" fillId="0" borderId="0" xfId="48" applyFont="1" applyFill="1" applyBorder="1" applyAlignment="1">
      <alignment horizontal="justify" vertical="justify" wrapText="1"/>
      <protection/>
    </xf>
    <xf numFmtId="0" fontId="3" fillId="0" borderId="0" xfId="48" applyFont="1" applyFill="1" applyBorder="1" applyAlignment="1">
      <alignment horizontal="left" vertical="center"/>
      <protection/>
    </xf>
    <xf numFmtId="0" fontId="3" fillId="0" borderId="0" xfId="48" applyFont="1" applyFill="1" applyBorder="1" applyAlignment="1">
      <alignment vertical="top" wrapText="1"/>
      <protection/>
    </xf>
    <xf numFmtId="0" fontId="3" fillId="0" borderId="0" xfId="0" applyFont="1" applyBorder="1" applyAlignment="1">
      <alignment vertical="top" wrapText="1"/>
    </xf>
    <xf numFmtId="175" fontId="6" fillId="0" borderId="0" xfId="42" applyNumberFormat="1" applyFont="1" applyFill="1" applyBorder="1" applyAlignment="1">
      <alignment horizontal="center"/>
    </xf>
    <xf numFmtId="1" fontId="3" fillId="0" borderId="0" xfId="48" applyNumberFormat="1" applyFont="1" applyFill="1" applyBorder="1" applyAlignment="1">
      <alignment horizontal="justify" vertical="justify" wrapText="1"/>
      <protection/>
    </xf>
    <xf numFmtId="1" fontId="7" fillId="0" borderId="0" xfId="48" applyNumberFormat="1" applyFont="1" applyFill="1" applyBorder="1" applyAlignment="1">
      <alignment horizontal="justify" vertical="justify" wrapText="1"/>
      <protection/>
    </xf>
    <xf numFmtId="175" fontId="3" fillId="0" borderId="0" xfId="42" applyNumberFormat="1" applyFont="1" applyFill="1" applyBorder="1" applyAlignment="1">
      <alignment horizontal="center"/>
    </xf>
    <xf numFmtId="0" fontId="6" fillId="0" borderId="0" xfId="0" applyFont="1" applyFill="1" applyBorder="1" applyAlignment="1">
      <alignment horizontal="left" wrapText="1"/>
    </xf>
    <xf numFmtId="0" fontId="6" fillId="0" borderId="25" xfId="48" applyFont="1" applyFill="1" applyBorder="1" applyAlignment="1">
      <alignment horizontal="center" wrapText="1"/>
      <protection/>
    </xf>
    <xf numFmtId="0" fontId="6" fillId="0" borderId="27" xfId="48" applyFont="1" applyFill="1" applyBorder="1" applyAlignment="1">
      <alignment horizontal="center" wrapText="1"/>
      <protection/>
    </xf>
    <xf numFmtId="0" fontId="6" fillId="0" borderId="26" xfId="48" applyFont="1" applyFill="1" applyBorder="1" applyAlignment="1">
      <alignment horizontal="center" wrapText="1"/>
      <protection/>
    </xf>
    <xf numFmtId="0" fontId="6" fillId="0" borderId="22" xfId="48" applyFont="1" applyFill="1" applyBorder="1" applyAlignment="1">
      <alignment horizontal="center" wrapText="1"/>
      <protection/>
    </xf>
    <xf numFmtId="1" fontId="3" fillId="0" borderId="0" xfId="48" applyNumberFormat="1" applyFont="1" applyFill="1" applyBorder="1" applyAlignment="1">
      <alignment horizontal="left" vertical="justify" wrapText="1"/>
      <protection/>
    </xf>
    <xf numFmtId="0" fontId="6" fillId="0" borderId="23" xfId="48" applyFont="1" applyFill="1" applyBorder="1" applyAlignment="1">
      <alignment horizontal="center" wrapText="1"/>
      <protection/>
    </xf>
    <xf numFmtId="0" fontId="6" fillId="0" borderId="18" xfId="48" applyFont="1" applyFill="1" applyBorder="1" applyAlignment="1">
      <alignment horizontal="center"/>
      <protection/>
    </xf>
    <xf numFmtId="175" fontId="6" fillId="0" borderId="10" xfId="42" applyNumberFormat="1" applyFont="1" applyFill="1" applyBorder="1" applyAlignment="1">
      <alignment horizontal="right" wrapText="1"/>
    </xf>
    <xf numFmtId="175" fontId="3" fillId="0" borderId="10" xfId="42" applyNumberFormat="1" applyFont="1" applyFill="1" applyBorder="1" applyAlignment="1">
      <alignment horizontal="right" wrapText="1"/>
    </xf>
    <xf numFmtId="175" fontId="6" fillId="0" borderId="10" xfId="42" applyNumberFormat="1" applyFont="1" applyFill="1" applyBorder="1" applyAlignment="1">
      <alignment horizontal="right"/>
    </xf>
    <xf numFmtId="175" fontId="3" fillId="0" borderId="10" xfId="42" applyNumberFormat="1" applyFont="1" applyFill="1" applyBorder="1" applyAlignment="1">
      <alignment horizontal="right"/>
    </xf>
    <xf numFmtId="0" fontId="7" fillId="0" borderId="23" xfId="48" applyFont="1" applyFill="1" applyBorder="1" applyAlignment="1">
      <alignment horizontal="center" vertical="center" wrapText="1"/>
      <protection/>
    </xf>
    <xf numFmtId="0" fontId="7" fillId="0" borderId="18" xfId="48" applyFont="1" applyFill="1" applyBorder="1" applyAlignment="1">
      <alignment horizontal="center" vertical="center" wrapText="1"/>
      <protection/>
    </xf>
    <xf numFmtId="175" fontId="6" fillId="0" borderId="26" xfId="42" applyNumberFormat="1" applyFont="1" applyFill="1" applyBorder="1" applyAlignment="1">
      <alignment horizontal="center"/>
    </xf>
    <xf numFmtId="175" fontId="6" fillId="0" borderId="22" xfId="42" applyNumberFormat="1" applyFont="1" applyFill="1" applyBorder="1" applyAlignment="1">
      <alignment horizontal="center"/>
    </xf>
    <xf numFmtId="175" fontId="3" fillId="0" borderId="15" xfId="42" applyNumberFormat="1" applyFont="1" applyFill="1" applyBorder="1" applyAlignment="1">
      <alignment horizontal="center"/>
    </xf>
    <xf numFmtId="175" fontId="3" fillId="0" borderId="27" xfId="42" applyNumberFormat="1" applyFont="1" applyFill="1" applyBorder="1" applyAlignment="1">
      <alignment horizontal="center"/>
    </xf>
    <xf numFmtId="175" fontId="11" fillId="0" borderId="0" xfId="42" applyNumberFormat="1" applyFont="1" applyFill="1" applyBorder="1" applyAlignment="1">
      <alignment horizontal="right"/>
    </xf>
    <xf numFmtId="175" fontId="11" fillId="0" borderId="17" xfId="42" applyNumberFormat="1" applyFont="1" applyFill="1" applyBorder="1" applyAlignment="1">
      <alignment horizontal="right"/>
    </xf>
    <xf numFmtId="175" fontId="3" fillId="0" borderId="21" xfId="42" applyNumberFormat="1" applyFont="1" applyFill="1" applyBorder="1" applyAlignment="1">
      <alignment horizontal="center"/>
    </xf>
    <xf numFmtId="175" fontId="3" fillId="0" borderId="22" xfId="42" applyNumberFormat="1" applyFont="1" applyFill="1" applyBorder="1" applyAlignment="1">
      <alignment horizontal="center"/>
    </xf>
    <xf numFmtId="175" fontId="11" fillId="0" borderId="12" xfId="42" applyNumberFormat="1" applyFont="1" applyFill="1" applyBorder="1" applyAlignment="1">
      <alignment horizontal="right"/>
    </xf>
    <xf numFmtId="175" fontId="6" fillId="0" borderId="25" xfId="42" applyNumberFormat="1" applyFont="1" applyFill="1" applyBorder="1" applyAlignment="1">
      <alignment horizontal="center"/>
    </xf>
    <xf numFmtId="175" fontId="6" fillId="0" borderId="27" xfId="42" applyNumberFormat="1" applyFont="1" applyFill="1" applyBorder="1" applyAlignment="1">
      <alignment horizontal="center"/>
    </xf>
    <xf numFmtId="175" fontId="6" fillId="0" borderId="10" xfId="42" applyNumberFormat="1" applyFont="1" applyFill="1" applyBorder="1" applyAlignment="1" quotePrefix="1">
      <alignment horizontal="center" wrapText="1"/>
    </xf>
    <xf numFmtId="175" fontId="6" fillId="0" borderId="10" xfId="42" applyNumberFormat="1" applyFont="1" applyFill="1" applyBorder="1" applyAlignment="1">
      <alignment horizontal="center" wrapText="1"/>
    </xf>
    <xf numFmtId="2" fontId="6" fillId="0" borderId="25" xfId="48" applyNumberFormat="1" applyFont="1" applyFill="1" applyBorder="1" applyAlignment="1">
      <alignment horizontal="center" vertical="center"/>
      <protection/>
    </xf>
    <xf numFmtId="2" fontId="6" fillId="0" borderId="27" xfId="48" applyNumberFormat="1" applyFont="1" applyFill="1" applyBorder="1" applyAlignment="1">
      <alignment horizontal="center" vertical="center"/>
      <protection/>
    </xf>
    <xf numFmtId="2" fontId="6" fillId="0" borderId="26" xfId="48" applyNumberFormat="1" applyFont="1" applyFill="1" applyBorder="1" applyAlignment="1">
      <alignment horizontal="center" vertical="center"/>
      <protection/>
    </xf>
    <xf numFmtId="2" fontId="6" fillId="0" borderId="22" xfId="48" applyNumberFormat="1" applyFont="1" applyFill="1" applyBorder="1" applyAlignment="1">
      <alignment horizontal="center" vertical="center"/>
      <protection/>
    </xf>
    <xf numFmtId="175" fontId="6" fillId="0" borderId="16" xfId="42" applyNumberFormat="1" applyFont="1" applyFill="1" applyBorder="1" applyAlignment="1" quotePrefix="1">
      <alignment horizontal="center" vertical="center" wrapText="1"/>
    </xf>
    <xf numFmtId="175" fontId="6" fillId="0" borderId="33" xfId="42" applyNumberFormat="1" applyFont="1" applyFill="1" applyBorder="1" applyAlignment="1">
      <alignment horizontal="center" vertical="center" wrapText="1"/>
    </xf>
    <xf numFmtId="0" fontId="7" fillId="0" borderId="12" xfId="48" applyFont="1" applyFill="1" applyBorder="1" applyAlignment="1">
      <alignment horizontal="left" vertical="center" wrapText="1"/>
      <protection/>
    </xf>
    <xf numFmtId="0" fontId="7" fillId="0" borderId="17" xfId="48" applyFont="1" applyFill="1" applyBorder="1" applyAlignment="1">
      <alignment horizontal="left" vertical="center" wrapText="1"/>
      <protection/>
    </xf>
    <xf numFmtId="175" fontId="13" fillId="0" borderId="10" xfId="42" applyNumberFormat="1" applyFont="1" applyFill="1" applyBorder="1" applyAlignment="1" quotePrefix="1">
      <alignment horizontal="center" wrapText="1"/>
    </xf>
    <xf numFmtId="175" fontId="13" fillId="0" borderId="10" xfId="42" applyNumberFormat="1" applyFont="1" applyFill="1" applyBorder="1" applyAlignment="1">
      <alignment horizontal="center" wrapText="1"/>
    </xf>
    <xf numFmtId="2" fontId="7" fillId="0" borderId="10" xfId="0" applyNumberFormat="1" applyFont="1" applyBorder="1" applyAlignment="1">
      <alignment horizontal="left" vertical="center"/>
    </xf>
    <xf numFmtId="175" fontId="6" fillId="0" borderId="25" xfId="42" applyNumberFormat="1" applyFont="1" applyBorder="1" applyAlignment="1">
      <alignment horizontal="center" vertical="center"/>
    </xf>
    <xf numFmtId="175" fontId="6" fillId="0" borderId="27" xfId="42" applyNumberFormat="1" applyFont="1" applyBorder="1" applyAlignment="1">
      <alignment horizontal="center" vertical="center"/>
    </xf>
    <xf numFmtId="175" fontId="6" fillId="0" borderId="26" xfId="42" applyNumberFormat="1" applyFont="1" applyBorder="1" applyAlignment="1">
      <alignment horizontal="center" vertical="center"/>
    </xf>
    <xf numFmtId="175" fontId="6" fillId="0" borderId="22" xfId="42" applyNumberFormat="1" applyFont="1" applyBorder="1" applyAlignment="1">
      <alignment horizontal="center" vertical="center"/>
    </xf>
    <xf numFmtId="2" fontId="3" fillId="0" borderId="0" xfId="0" applyNumberFormat="1" applyFont="1" applyBorder="1" applyAlignment="1">
      <alignment horizontal="left" wrapText="1"/>
    </xf>
    <xf numFmtId="2" fontId="3" fillId="0" borderId="0" xfId="0" applyNumberFormat="1" applyFont="1" applyBorder="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175" fontId="6" fillId="0" borderId="10" xfId="42" applyNumberFormat="1" applyFont="1" applyBorder="1" applyAlignment="1">
      <alignment horizontal="center"/>
    </xf>
    <xf numFmtId="0" fontId="72" fillId="0" borderId="0" xfId="0" applyFont="1" applyFill="1" applyAlignment="1">
      <alignment horizontal="left"/>
    </xf>
    <xf numFmtId="49" fontId="78" fillId="0" borderId="0" xfId="0" applyNumberFormat="1" applyFont="1" applyFill="1" applyBorder="1" applyAlignment="1">
      <alignment horizontal="center" vertical="center"/>
    </xf>
    <xf numFmtId="49" fontId="79" fillId="0" borderId="0" xfId="0" applyNumberFormat="1" applyFont="1" applyFill="1" applyBorder="1" applyAlignment="1">
      <alignment horizontal="center" vertical="center"/>
    </xf>
    <xf numFmtId="0" fontId="80" fillId="0" borderId="0" xfId="0" applyFont="1" applyFill="1" applyBorder="1" applyAlignment="1">
      <alignment horizontal="center"/>
    </xf>
    <xf numFmtId="0" fontId="72" fillId="0" borderId="0" xfId="0" applyFont="1" applyFill="1" applyAlignment="1">
      <alignment horizontal="left" vertical="center" wrapText="1"/>
    </xf>
    <xf numFmtId="0" fontId="73" fillId="0" borderId="0" xfId="0" applyFont="1" applyFill="1" applyAlignment="1">
      <alignment horizontal="left"/>
    </xf>
    <xf numFmtId="175" fontId="3" fillId="0" borderId="16" xfId="42" applyNumberFormat="1" applyFont="1" applyFill="1" applyBorder="1" applyAlignment="1">
      <alignment horizontal="center"/>
    </xf>
    <xf numFmtId="175" fontId="3" fillId="0" borderId="33" xfId="42" applyNumberFormat="1" applyFont="1" applyFill="1" applyBorder="1" applyAlignment="1">
      <alignment horizontal="center"/>
    </xf>
    <xf numFmtId="0" fontId="70" fillId="0" borderId="16" xfId="48" applyFont="1" applyFill="1" applyBorder="1" applyAlignment="1">
      <alignment horizontal="left" vertical="top"/>
      <protection/>
    </xf>
    <xf numFmtId="0" fontId="70" fillId="0" borderId="14" xfId="48" applyFont="1" applyFill="1" applyBorder="1" applyAlignment="1">
      <alignment horizontal="left" vertical="top"/>
      <protection/>
    </xf>
    <xf numFmtId="0" fontId="70" fillId="0" borderId="33" xfId="48" applyFont="1" applyFill="1" applyBorder="1" applyAlignment="1">
      <alignment horizontal="left" vertical="top"/>
      <protection/>
    </xf>
    <xf numFmtId="0" fontId="81" fillId="0" borderId="16" xfId="48" applyFont="1" applyFill="1" applyBorder="1" applyAlignment="1">
      <alignment horizontal="left"/>
      <protection/>
    </xf>
    <xf numFmtId="0" fontId="81" fillId="0" borderId="14" xfId="48" applyFont="1" applyFill="1" applyBorder="1" applyAlignment="1">
      <alignment horizontal="left"/>
      <protection/>
    </xf>
    <xf numFmtId="0" fontId="81" fillId="0" borderId="33" xfId="48" applyFont="1" applyFill="1" applyBorder="1" applyAlignment="1">
      <alignment horizontal="left"/>
      <protection/>
    </xf>
    <xf numFmtId="0" fontId="67" fillId="0" borderId="16" xfId="48" applyFont="1" applyFill="1" applyBorder="1" applyAlignment="1">
      <alignment horizontal="center"/>
      <protection/>
    </xf>
    <xf numFmtId="0" fontId="67" fillId="0" borderId="33" xfId="48" applyFont="1" applyFill="1" applyBorder="1" applyAlignment="1">
      <alignment horizontal="center"/>
      <protection/>
    </xf>
    <xf numFmtId="2" fontId="66" fillId="0" borderId="10" xfId="48" applyNumberFormat="1" applyFont="1" applyFill="1" applyBorder="1" applyAlignment="1">
      <alignment horizontal="right"/>
      <protection/>
    </xf>
    <xf numFmtId="0" fontId="73" fillId="0" borderId="0" xfId="0" applyFont="1" applyFill="1" applyAlignment="1">
      <alignment horizontal="center" vertical="center" wrapText="1"/>
    </xf>
    <xf numFmtId="0" fontId="53" fillId="0" borderId="0" xfId="0" applyFont="1" applyAlignment="1">
      <alignment horizontal="center"/>
    </xf>
    <xf numFmtId="0" fontId="53" fillId="0" borderId="0" xfId="0" applyFont="1" applyBorder="1" applyAlignment="1">
      <alignment horizontal="center" vertical="center" wrapText="1"/>
    </xf>
    <xf numFmtId="0" fontId="74"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Comma" xfId="47"/>
    <cellStyle name="Excel Built-in Normal"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8.212\SharedDocs\Documents%20and%20Settings\1547\Desktop\FA%202011-12\FA%202011-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 Expunged manual credit"/>
      <sheetName val="vehicle addition"/>
      <sheetName val="ADV TAX"/>
      <sheetName val="R &amp; D "/>
      <sheetName val="SALES"/>
      <sheetName val="ADDITIONS"/>
      <sheetName val="CAP WIP"/>
      <sheetName val="Leased assets"/>
      <sheetName val="ASSET SALE"/>
      <sheetName val="AS22"/>
      <sheetName val="11"/>
      <sheetName val="12"/>
      <sheetName val="13"/>
      <sheetName val="18"/>
      <sheetName val="19"/>
      <sheetName val="21"/>
      <sheetName val="22"/>
      <sheetName val="31"/>
      <sheetName val="32"/>
      <sheetName val="41"/>
      <sheetName val="51"/>
      <sheetName val="90"/>
      <sheetName val="TCK"/>
      <sheetName val="FUR-COMP"/>
      <sheetName val="CONS"/>
    </sheetNames>
    <sheetDataSet>
      <sheetData sheetId="24">
        <row r="8">
          <cell r="AC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J68"/>
  <sheetViews>
    <sheetView defaultGridColor="0" zoomScalePageLayoutView="0" colorId="22" workbookViewId="0" topLeftCell="A1">
      <selection activeCell="A1" sqref="A1:E67"/>
    </sheetView>
  </sheetViews>
  <sheetFormatPr defaultColWidth="9.140625" defaultRowHeight="15" customHeight="1"/>
  <cols>
    <col min="1" max="1" width="1.57421875" style="24" customWidth="1"/>
    <col min="2" max="2" width="50.57421875" style="24" customWidth="1"/>
    <col min="3" max="3" width="9.28125" style="24" bestFit="1" customWidth="1"/>
    <col min="4" max="4" width="17.421875" style="198" customWidth="1"/>
    <col min="5" max="5" width="21.140625" style="205" customWidth="1"/>
    <col min="6" max="6" width="13.140625" style="24" customWidth="1"/>
    <col min="7" max="7" width="19.57421875" style="24" customWidth="1"/>
    <col min="8" max="8" width="10.140625" style="24" bestFit="1" customWidth="1"/>
    <col min="9" max="9" width="11.00390625" style="24" bestFit="1" customWidth="1"/>
    <col min="10" max="10" width="12.00390625" style="24" customWidth="1"/>
    <col min="11" max="16384" width="9.140625" style="24" customWidth="1"/>
  </cols>
  <sheetData>
    <row r="1" spans="2:5" ht="21" customHeight="1">
      <c r="B1" s="419" t="s">
        <v>73</v>
      </c>
      <c r="C1" s="419"/>
      <c r="D1" s="419"/>
      <c r="E1" s="419"/>
    </row>
    <row r="2" spans="2:5" ht="26.25" customHeight="1">
      <c r="B2" s="417" t="s">
        <v>296</v>
      </c>
      <c r="C2" s="417"/>
      <c r="D2" s="417"/>
      <c r="E2" s="417"/>
    </row>
    <row r="3" spans="2:5" ht="15" customHeight="1">
      <c r="B3" s="418"/>
      <c r="C3" s="418"/>
      <c r="D3" s="415" t="s">
        <v>1683</v>
      </c>
      <c r="E3" s="415"/>
    </row>
    <row r="4" spans="2:5" ht="30.75" customHeight="1">
      <c r="B4" s="174" t="s">
        <v>0</v>
      </c>
      <c r="C4" s="31" t="s">
        <v>1</v>
      </c>
      <c r="D4" s="194" t="s">
        <v>292</v>
      </c>
      <c r="E4" s="195" t="s">
        <v>262</v>
      </c>
    </row>
    <row r="5" spans="2:5" ht="12.75" customHeight="1" hidden="1">
      <c r="B5" s="181"/>
      <c r="C5" s="27"/>
      <c r="D5" s="196"/>
      <c r="E5" s="197"/>
    </row>
    <row r="6" spans="2:5" ht="29.25" customHeight="1">
      <c r="B6" s="182" t="s">
        <v>117</v>
      </c>
      <c r="C6" s="189"/>
      <c r="E6" s="199"/>
    </row>
    <row r="7" spans="2:5" ht="25.5" customHeight="1">
      <c r="B7" s="183" t="s">
        <v>118</v>
      </c>
      <c r="C7" s="27"/>
      <c r="E7" s="200"/>
    </row>
    <row r="8" spans="2:5" ht="15" customHeight="1">
      <c r="B8" s="184" t="s">
        <v>2</v>
      </c>
      <c r="C8" s="27">
        <v>2</v>
      </c>
      <c r="D8" s="198">
        <f>SUM('LIA NOTES_2'!E18)</f>
        <v>71183300</v>
      </c>
      <c r="E8" s="200">
        <f>SUM('LIA NOTES_2'!F16)</f>
        <v>71183300</v>
      </c>
    </row>
    <row r="9" spans="2:7" ht="15" customHeight="1">
      <c r="B9" s="184" t="s">
        <v>3</v>
      </c>
      <c r="C9" s="27">
        <v>3</v>
      </c>
      <c r="D9" s="198">
        <f>SUM('LIA NOTES_2'!D69)</f>
        <v>49067727.82999998</v>
      </c>
      <c r="E9" s="200">
        <f>SUM('LIA NOTES_2'!E69)</f>
        <v>89798185</v>
      </c>
      <c r="G9" s="25"/>
    </row>
    <row r="10" spans="2:5" ht="15" customHeight="1">
      <c r="B10" s="41"/>
      <c r="C10" s="27"/>
      <c r="E10" s="200"/>
    </row>
    <row r="11" spans="2:5" ht="15" customHeight="1">
      <c r="B11" s="183" t="s">
        <v>119</v>
      </c>
      <c r="C11" s="27"/>
      <c r="E11" s="200"/>
    </row>
    <row r="12" spans="2:8" ht="15" customHeight="1">
      <c r="B12" s="184" t="s">
        <v>4</v>
      </c>
      <c r="C12" s="27">
        <v>4</v>
      </c>
      <c r="D12" s="198">
        <f>SUM('LIA NOTES_2'!D87)</f>
        <v>213712432</v>
      </c>
      <c r="E12" s="200">
        <f>SUM('LIA NOTES_2'!E87)</f>
        <v>82541274</v>
      </c>
      <c r="F12" s="25"/>
      <c r="G12" s="25">
        <f>+E12-82541274</f>
        <v>0</v>
      </c>
      <c r="H12" s="25"/>
    </row>
    <row r="13" spans="2:8" ht="15" customHeight="1">
      <c r="B13" s="184" t="s">
        <v>272</v>
      </c>
      <c r="C13" s="27">
        <v>5</v>
      </c>
      <c r="D13" s="198">
        <f>+'LIA NOTES_2'!D121</f>
        <v>19200000</v>
      </c>
      <c r="E13" s="200">
        <f>+'LIA NOTES_2'!E121</f>
        <v>19200000</v>
      </c>
      <c r="F13" s="25"/>
      <c r="G13" s="25"/>
      <c r="H13" s="25"/>
    </row>
    <row r="14" spans="2:7" ht="15" customHeight="1">
      <c r="B14" s="184" t="s">
        <v>208</v>
      </c>
      <c r="C14" s="27">
        <v>6</v>
      </c>
      <c r="D14" s="198">
        <f>'LIA NOTES_2'!D126</f>
        <v>16351259.27</v>
      </c>
      <c r="E14" s="200">
        <f>'LIA NOTES_2'!E126</f>
        <v>11880977</v>
      </c>
      <c r="F14" s="25"/>
      <c r="G14" s="25"/>
    </row>
    <row r="15" spans="2:7" ht="15" customHeight="1">
      <c r="B15" s="184"/>
      <c r="C15" s="27"/>
      <c r="E15" s="200"/>
      <c r="F15" s="25"/>
      <c r="G15" s="25"/>
    </row>
    <row r="16" spans="2:5" ht="15" customHeight="1">
      <c r="B16" s="183" t="s">
        <v>120</v>
      </c>
      <c r="C16" s="27"/>
      <c r="D16" s="202"/>
      <c r="E16" s="200"/>
    </row>
    <row r="17" spans="2:6" ht="15" customHeight="1">
      <c r="B17" s="184" t="s">
        <v>5</v>
      </c>
      <c r="C17" s="27">
        <v>7</v>
      </c>
      <c r="D17" s="198">
        <f>SUM('LIA NOTES_2'!D134)</f>
        <v>97487366.6</v>
      </c>
      <c r="E17" s="200">
        <f>SUM('LIA NOTES_2'!E134)</f>
        <v>125487659.95</v>
      </c>
      <c r="F17" s="25"/>
    </row>
    <row r="18" spans="2:6" ht="15" customHeight="1">
      <c r="B18" s="184" t="s">
        <v>6</v>
      </c>
      <c r="C18" s="27">
        <v>8</v>
      </c>
      <c r="D18" s="198">
        <f>+'LIA NOTES_2'!D141</f>
        <v>39503837.18000001</v>
      </c>
      <c r="E18" s="200">
        <f>+'LIA NOTES_2'!E141</f>
        <v>51150720.66</v>
      </c>
      <c r="F18" s="25"/>
    </row>
    <row r="19" spans="2:6" ht="15" customHeight="1">
      <c r="B19" s="184" t="s">
        <v>7</v>
      </c>
      <c r="C19" s="27">
        <v>9</v>
      </c>
      <c r="D19" s="198">
        <f>+'LIA NOTES_2'!D152</f>
        <v>109527866.12</v>
      </c>
      <c r="E19" s="200">
        <f>+'LIA NOTES_2'!E152</f>
        <v>132376527.78</v>
      </c>
      <c r="F19" s="25"/>
    </row>
    <row r="20" spans="2:7" ht="15" customHeight="1">
      <c r="B20" s="184" t="s">
        <v>8</v>
      </c>
      <c r="C20" s="27">
        <v>10</v>
      </c>
      <c r="D20" s="198">
        <f>+'LIA NOTES_2'!D157</f>
        <v>2219122</v>
      </c>
      <c r="E20" s="200">
        <f>+'LIA NOTES_2'!E157</f>
        <v>3650889</v>
      </c>
      <c r="F20" s="25"/>
      <c r="G20" s="25"/>
    </row>
    <row r="21" spans="2:7" ht="24.75" customHeight="1" thickBot="1">
      <c r="B21" s="185" t="s">
        <v>26</v>
      </c>
      <c r="C21" s="190"/>
      <c r="D21" s="203">
        <f>SUM(D8:D20)</f>
        <v>618252911</v>
      </c>
      <c r="E21" s="204">
        <f>SUM(E8:E20)+1</f>
        <v>587269534.39</v>
      </c>
      <c r="F21" s="25" t="s">
        <v>67</v>
      </c>
      <c r="G21" s="25" t="s">
        <v>67</v>
      </c>
    </row>
    <row r="22" spans="2:5" ht="15" customHeight="1" thickTop="1">
      <c r="B22" s="186" t="s">
        <v>9</v>
      </c>
      <c r="C22" s="27"/>
      <c r="E22" s="200"/>
    </row>
    <row r="23" spans="2:5" ht="21.75" customHeight="1">
      <c r="B23" s="183" t="s">
        <v>121</v>
      </c>
      <c r="C23" s="27"/>
      <c r="E23" s="200"/>
    </row>
    <row r="24" spans="2:5" ht="15" customHeight="1">
      <c r="B24" s="184" t="s">
        <v>10</v>
      </c>
      <c r="C24" s="27"/>
      <c r="E24" s="200"/>
    </row>
    <row r="25" spans="2:6" ht="15" customHeight="1">
      <c r="B25" s="184" t="s">
        <v>209</v>
      </c>
      <c r="C25" s="27">
        <v>11</v>
      </c>
      <c r="D25" s="198">
        <f>SUM('F ASSETS'!L27)</f>
        <v>105616063.26000005</v>
      </c>
      <c r="E25" s="200">
        <f>SUM('F ASSETS'!M27)</f>
        <v>143314375</v>
      </c>
      <c r="F25" s="25"/>
    </row>
    <row r="26" spans="2:7" ht="15" customHeight="1">
      <c r="B26" s="184" t="s">
        <v>254</v>
      </c>
      <c r="C26" s="27"/>
      <c r="D26" s="198">
        <v>0</v>
      </c>
      <c r="E26" s="200">
        <v>0</v>
      </c>
      <c r="F26" s="25"/>
      <c r="G26" s="24">
        <v>57</v>
      </c>
    </row>
    <row r="27" spans="2:7" ht="15" customHeight="1">
      <c r="B27" s="184" t="s">
        <v>115</v>
      </c>
      <c r="C27" s="27">
        <v>12</v>
      </c>
      <c r="D27" s="198">
        <f>SUM('ASSETS NOTES_2'!D17)</f>
        <v>199100</v>
      </c>
      <c r="E27" s="200">
        <f>SUM('ASSETS NOTES_2'!E17)</f>
        <v>199100</v>
      </c>
      <c r="F27" s="25"/>
      <c r="G27" s="24">
        <v>25</v>
      </c>
    </row>
    <row r="28" spans="2:7" ht="15" customHeight="1">
      <c r="B28" s="184" t="s">
        <v>1702</v>
      </c>
      <c r="C28" s="27"/>
      <c r="D28" s="198">
        <f>+Assets!D95+9588778</f>
        <v>119036188</v>
      </c>
      <c r="E28" s="200">
        <f>+Assets!E95</f>
        <v>109447410</v>
      </c>
      <c r="F28" s="25"/>
      <c r="G28" s="24" t="s">
        <v>67</v>
      </c>
    </row>
    <row r="29" spans="2:7" ht="15" customHeight="1">
      <c r="B29" s="187" t="s">
        <v>42</v>
      </c>
      <c r="C29" s="27">
        <v>13</v>
      </c>
      <c r="D29" s="198">
        <f>'ASSETS NOTES_2'!D38</f>
        <v>130088286.96</v>
      </c>
      <c r="E29" s="200">
        <f>SUM('ASSETS NOTES_2'!E38)</f>
        <v>159894067.77999997</v>
      </c>
      <c r="F29" s="25"/>
      <c r="G29" s="24">
        <f>+G26+G27</f>
        <v>82</v>
      </c>
    </row>
    <row r="30" spans="2:7" ht="15" customHeight="1">
      <c r="B30" s="184" t="s">
        <v>238</v>
      </c>
      <c r="C30" s="27">
        <v>14</v>
      </c>
      <c r="D30" s="198">
        <f>'ASSETS NOTES_2'!D44</f>
        <v>0</v>
      </c>
      <c r="E30" s="200">
        <f>'ASSETS NOTES_2'!E44</f>
        <v>873146</v>
      </c>
      <c r="F30" s="25"/>
      <c r="G30" s="25"/>
    </row>
    <row r="31" spans="2:5" ht="15" customHeight="1">
      <c r="B31" s="41"/>
      <c r="C31" s="189"/>
      <c r="D31" s="205"/>
      <c r="E31" s="200"/>
    </row>
    <row r="32" spans="2:5" ht="15" customHeight="1">
      <c r="B32" s="183" t="s">
        <v>122</v>
      </c>
      <c r="C32" s="27"/>
      <c r="E32" s="200"/>
    </row>
    <row r="33" spans="2:5" ht="15" customHeight="1">
      <c r="B33" s="184" t="s">
        <v>41</v>
      </c>
      <c r="C33" s="27">
        <v>15</v>
      </c>
      <c r="D33" s="198">
        <f>SUM('ASSETS NOTES_2'!D54)</f>
        <v>223105997.74</v>
      </c>
      <c r="E33" s="200">
        <f>SUM('ASSETS NOTES_2'!E54)</f>
        <v>136363222.75</v>
      </c>
    </row>
    <row r="34" spans="2:10" ht="15" customHeight="1">
      <c r="B34" s="184" t="s">
        <v>11</v>
      </c>
      <c r="C34" s="27">
        <v>16</v>
      </c>
      <c r="D34" s="198">
        <f>SUM('ASSETS NOTES_2'!D64)</f>
        <v>14406548.529999997</v>
      </c>
      <c r="E34" s="200">
        <f>SUM('ASSETS NOTES_2'!E64)</f>
        <v>15569668.5</v>
      </c>
      <c r="G34" s="24" t="s">
        <v>67</v>
      </c>
      <c r="J34" s="25"/>
    </row>
    <row r="35" spans="2:10" ht="15" customHeight="1">
      <c r="B35" s="184" t="s">
        <v>12</v>
      </c>
      <c r="C35" s="27">
        <v>17</v>
      </c>
      <c r="D35" s="198">
        <f>SUM('ASSETS NOTES_2'!D71)</f>
        <v>8063578.33</v>
      </c>
      <c r="E35" s="200">
        <f>SUM('ASSETS NOTES_2'!E71)</f>
        <v>5893843.18</v>
      </c>
      <c r="G35" s="24" t="s">
        <v>67</v>
      </c>
      <c r="J35" s="25"/>
    </row>
    <row r="36" spans="2:10" ht="15" customHeight="1">
      <c r="B36" s="184" t="s">
        <v>13</v>
      </c>
      <c r="C36" s="27">
        <v>18</v>
      </c>
      <c r="D36" s="198">
        <f>SUM('ASSETS NOTES_2'!D77)</f>
        <v>17256710.81</v>
      </c>
      <c r="E36" s="200">
        <f>SUM('ASSETS NOTES_2'!E77)</f>
        <v>13637441.419999998</v>
      </c>
      <c r="G36" s="25" t="s">
        <v>67</v>
      </c>
      <c r="J36" s="25"/>
    </row>
    <row r="37" spans="2:5" ht="15" customHeight="1">
      <c r="B37" s="184" t="s">
        <v>14</v>
      </c>
      <c r="C37" s="27">
        <v>19</v>
      </c>
      <c r="D37" s="198">
        <f>SUM('ASSETS NOTES_2'!D81)</f>
        <v>480437</v>
      </c>
      <c r="E37" s="200">
        <f>SUM('ASSETS NOTES_2'!E81)</f>
        <v>2077259</v>
      </c>
    </row>
    <row r="38" spans="2:7" ht="24.75" customHeight="1" thickBot="1">
      <c r="B38" s="192" t="s">
        <v>26</v>
      </c>
      <c r="C38" s="191"/>
      <c r="D38" s="203">
        <f>SUM(D25:D37)</f>
        <v>618252910.63</v>
      </c>
      <c r="E38" s="204">
        <f>SUM(E25:E37)</f>
        <v>587269533.6299999</v>
      </c>
      <c r="F38" s="25" t="s">
        <v>67</v>
      </c>
      <c r="G38" s="25"/>
    </row>
    <row r="39" spans="2:10" ht="15" customHeight="1" thickTop="1">
      <c r="B39" s="180" t="s">
        <v>210</v>
      </c>
      <c r="C39" s="29">
        <v>1</v>
      </c>
      <c r="J39" s="25"/>
    </row>
    <row r="40" spans="2:7" ht="15" customHeight="1">
      <c r="B40" s="28" t="s">
        <v>211</v>
      </c>
      <c r="C40" s="29">
        <v>27</v>
      </c>
      <c r="D40" s="198">
        <f>+D38-D21</f>
        <v>-0.3700000047683716</v>
      </c>
      <c r="E40" s="198">
        <f>+E38-E21</f>
        <v>-0.7600001096725464</v>
      </c>
      <c r="F40" s="1" t="s">
        <v>67</v>
      </c>
      <c r="G40" s="5">
        <f>30623007+D40</f>
        <v>30623006.629999995</v>
      </c>
    </row>
    <row r="41" spans="2:7" ht="15" customHeight="1">
      <c r="B41" s="28"/>
      <c r="C41" s="29"/>
      <c r="E41" s="198" t="s">
        <v>67</v>
      </c>
      <c r="F41" s="2" t="s">
        <v>67</v>
      </c>
      <c r="G41" s="5"/>
    </row>
    <row r="42" spans="2:7" ht="15" customHeight="1">
      <c r="B42" s="28" t="s">
        <v>240</v>
      </c>
      <c r="C42" s="29"/>
      <c r="E42" s="198"/>
      <c r="F42" s="1"/>
      <c r="G42" s="5"/>
    </row>
    <row r="43" spans="2:10" ht="18.75" customHeight="1">
      <c r="B43" s="420" t="s">
        <v>67</v>
      </c>
      <c r="C43" s="420"/>
      <c r="D43" s="420"/>
      <c r="E43" s="420"/>
      <c r="F43" s="12" t="s">
        <v>67</v>
      </c>
      <c r="G43" s="12"/>
      <c r="H43" s="172"/>
      <c r="I43" s="12"/>
      <c r="J43" s="179"/>
    </row>
    <row r="44" spans="2:10" ht="15" customHeight="1">
      <c r="B44" s="420" t="s">
        <v>67</v>
      </c>
      <c r="C44" s="420"/>
      <c r="D44" s="420"/>
      <c r="E44" s="420"/>
      <c r="F44" s="13"/>
      <c r="G44" s="13"/>
      <c r="H44" s="13"/>
      <c r="I44" s="12"/>
      <c r="J44" s="179"/>
    </row>
    <row r="45" spans="2:10" ht="15" customHeight="1">
      <c r="B45" s="412" t="s">
        <v>241</v>
      </c>
      <c r="C45" s="412"/>
      <c r="D45" s="412"/>
      <c r="E45" s="412"/>
      <c r="F45" s="14"/>
      <c r="G45" s="14"/>
      <c r="H45" s="14"/>
      <c r="I45" s="12"/>
      <c r="J45" s="179"/>
    </row>
    <row r="46" spans="2:10" ht="15" customHeight="1">
      <c r="B46" s="416" t="s">
        <v>161</v>
      </c>
      <c r="C46" s="416"/>
      <c r="D46" s="416"/>
      <c r="E46" s="416"/>
      <c r="F46" s="18"/>
      <c r="G46" s="18"/>
      <c r="H46" s="18"/>
      <c r="I46" s="18"/>
      <c r="J46" s="18"/>
    </row>
    <row r="47" spans="2:10" ht="15" customHeight="1">
      <c r="B47" s="12"/>
      <c r="C47" s="16"/>
      <c r="E47" s="172" t="s">
        <v>175</v>
      </c>
      <c r="F47" s="13"/>
      <c r="G47" s="13"/>
      <c r="H47" s="13"/>
      <c r="I47" s="12"/>
      <c r="J47" s="179"/>
    </row>
    <row r="48" spans="2:10" ht="15" customHeight="1">
      <c r="B48" s="12"/>
      <c r="C48" s="12"/>
      <c r="E48" s="172" t="s">
        <v>160</v>
      </c>
      <c r="F48" s="20"/>
      <c r="G48" s="20"/>
      <c r="H48" s="20"/>
      <c r="I48" s="12"/>
      <c r="J48" s="179"/>
    </row>
    <row r="49" spans="2:10" ht="15" customHeight="1">
      <c r="B49" s="20" t="s">
        <v>1667</v>
      </c>
      <c r="C49" s="12"/>
      <c r="D49" s="17"/>
      <c r="E49" s="17"/>
      <c r="F49" s="14" t="s">
        <v>67</v>
      </c>
      <c r="G49" s="14"/>
      <c r="H49" s="14"/>
      <c r="I49" s="12"/>
      <c r="J49" s="179"/>
    </row>
    <row r="50" spans="2:10" ht="15" customHeight="1">
      <c r="B50" s="12" t="s">
        <v>125</v>
      </c>
      <c r="C50" s="12"/>
      <c r="D50" s="17"/>
      <c r="E50" s="17"/>
      <c r="F50" s="12"/>
      <c r="G50" s="12"/>
      <c r="H50" s="171"/>
      <c r="I50" s="12"/>
      <c r="J50" s="179"/>
    </row>
    <row r="51" spans="2:10" ht="15" customHeight="1">
      <c r="B51" s="20" t="s">
        <v>67</v>
      </c>
      <c r="C51" s="12"/>
      <c r="D51" s="17"/>
      <c r="E51" s="17"/>
      <c r="F51" s="12"/>
      <c r="G51" s="17"/>
      <c r="H51" s="171"/>
      <c r="I51" s="12"/>
      <c r="J51" s="179"/>
    </row>
    <row r="52" spans="2:10" ht="15" customHeight="1">
      <c r="B52" s="20"/>
      <c r="C52" s="414" t="s">
        <v>1689</v>
      </c>
      <c r="D52" s="414"/>
      <c r="E52" s="414"/>
      <c r="F52" s="12"/>
      <c r="G52" s="23"/>
      <c r="H52" s="171"/>
      <c r="I52" s="12"/>
      <c r="J52" s="179"/>
    </row>
    <row r="53" spans="2:10" ht="15" customHeight="1">
      <c r="B53" s="20"/>
      <c r="C53" s="20"/>
      <c r="D53" s="14"/>
      <c r="E53" s="19" t="s">
        <v>15</v>
      </c>
      <c r="F53" s="12" t="s">
        <v>67</v>
      </c>
      <c r="G53" s="23"/>
      <c r="H53" s="171"/>
      <c r="I53" s="12"/>
      <c r="J53" s="179"/>
    </row>
    <row r="54" spans="2:10" ht="15" customHeight="1">
      <c r="B54" s="20" t="s">
        <v>1653</v>
      </c>
      <c r="C54" s="413" t="s">
        <v>1690</v>
      </c>
      <c r="D54" s="413"/>
      <c r="E54" s="413"/>
      <c r="F54" s="12"/>
      <c r="G54" s="23"/>
      <c r="H54" s="171"/>
      <c r="I54" s="12"/>
      <c r="J54" s="179"/>
    </row>
    <row r="55" spans="2:10" ht="15" customHeight="1">
      <c r="B55" s="12" t="s">
        <v>1670</v>
      </c>
      <c r="C55" s="171"/>
      <c r="D55" s="171"/>
      <c r="E55" s="171"/>
      <c r="F55" s="12"/>
      <c r="G55" s="23"/>
      <c r="H55" s="171"/>
      <c r="I55" s="12"/>
      <c r="J55" s="179"/>
    </row>
    <row r="56" spans="3:10" ht="15" customHeight="1">
      <c r="C56" s="171"/>
      <c r="D56" s="171"/>
      <c r="E56" s="171"/>
      <c r="F56" s="12"/>
      <c r="G56" s="23"/>
      <c r="H56" s="171"/>
      <c r="I56" s="12"/>
      <c r="J56" s="179"/>
    </row>
    <row r="57" spans="2:10" ht="15" customHeight="1">
      <c r="B57" s="20"/>
      <c r="C57" s="421" t="s">
        <v>67</v>
      </c>
      <c r="D57" s="421"/>
      <c r="E57" s="12"/>
      <c r="F57" s="12"/>
      <c r="G57" s="23"/>
      <c r="H57" s="171"/>
      <c r="I57" s="12"/>
      <c r="J57" s="179"/>
    </row>
    <row r="58" spans="2:10" ht="15" customHeight="1">
      <c r="B58" s="20"/>
      <c r="C58" s="414" t="s">
        <v>1669</v>
      </c>
      <c r="D58" s="414"/>
      <c r="E58" s="414"/>
      <c r="F58" s="12"/>
      <c r="G58" s="23"/>
      <c r="H58" s="171"/>
      <c r="I58" s="12"/>
      <c r="J58" s="179"/>
    </row>
    <row r="59" spans="2:10" ht="15" customHeight="1">
      <c r="B59" s="20" t="s">
        <v>1668</v>
      </c>
      <c r="C59" s="411" t="s">
        <v>127</v>
      </c>
      <c r="D59" s="411"/>
      <c r="E59" s="411"/>
      <c r="F59" s="12"/>
      <c r="G59" s="23"/>
      <c r="H59" s="171"/>
      <c r="I59" s="12"/>
      <c r="J59" s="179"/>
    </row>
    <row r="60" spans="2:10" ht="15" customHeight="1">
      <c r="B60" s="12" t="s">
        <v>126</v>
      </c>
      <c r="C60" s="412" t="s">
        <v>158</v>
      </c>
      <c r="D60" s="412"/>
      <c r="E60" s="412"/>
      <c r="F60" s="12"/>
      <c r="G60" s="23"/>
      <c r="H60" s="14"/>
      <c r="I60" s="14"/>
      <c r="J60" s="14"/>
    </row>
    <row r="61" spans="3:10" ht="15" customHeight="1">
      <c r="C61" s="413" t="s">
        <v>159</v>
      </c>
      <c r="D61" s="413"/>
      <c r="E61" s="413"/>
      <c r="F61" s="179"/>
      <c r="G61" s="179"/>
      <c r="H61" s="14"/>
      <c r="I61" s="14"/>
      <c r="J61" s="14"/>
    </row>
    <row r="62" spans="2:10" ht="15" customHeight="1">
      <c r="B62" s="12"/>
      <c r="C62" s="15"/>
      <c r="D62" s="15"/>
      <c r="E62" s="22"/>
      <c r="F62" s="21"/>
      <c r="G62" s="14"/>
      <c r="H62" s="14"/>
      <c r="I62" s="12"/>
      <c r="J62" s="179"/>
    </row>
    <row r="63" spans="2:5" ht="15" customHeight="1">
      <c r="B63" s="20" t="s">
        <v>1691</v>
      </c>
      <c r="C63" s="12"/>
      <c r="D63" s="21"/>
      <c r="E63" s="22"/>
    </row>
    <row r="64" spans="2:5" ht="15" customHeight="1">
      <c r="B64" s="20" t="s">
        <v>1692</v>
      </c>
      <c r="C64" s="12"/>
      <c r="D64" s="12"/>
      <c r="E64" s="179"/>
    </row>
    <row r="65" spans="2:5" ht="15" customHeight="1">
      <c r="B65" s="12"/>
      <c r="C65" s="12"/>
      <c r="D65" s="12"/>
      <c r="E65" s="179"/>
    </row>
    <row r="66" spans="2:5" ht="15" customHeight="1">
      <c r="B66" s="16" t="s">
        <v>128</v>
      </c>
      <c r="D66" s="36"/>
      <c r="E66" s="25"/>
    </row>
    <row r="67" spans="2:5" ht="15" customHeight="1">
      <c r="B67" s="16" t="s">
        <v>1671</v>
      </c>
      <c r="D67" s="36"/>
      <c r="E67" s="25"/>
    </row>
    <row r="68" spans="4:5" ht="15" customHeight="1">
      <c r="D68" s="36"/>
      <c r="E68" s="25"/>
    </row>
  </sheetData>
  <sheetProtection/>
  <mergeCells count="15">
    <mergeCell ref="B2:E2"/>
    <mergeCell ref="B3:C3"/>
    <mergeCell ref="B1:E1"/>
    <mergeCell ref="B43:E43"/>
    <mergeCell ref="B44:E44"/>
    <mergeCell ref="C57:D57"/>
    <mergeCell ref="C59:E59"/>
    <mergeCell ref="C60:E60"/>
    <mergeCell ref="C61:E61"/>
    <mergeCell ref="C58:E58"/>
    <mergeCell ref="D3:E3"/>
    <mergeCell ref="B45:E45"/>
    <mergeCell ref="B46:E46"/>
    <mergeCell ref="C52:E52"/>
    <mergeCell ref="C54:E54"/>
  </mergeCells>
  <printOptions/>
  <pageMargins left="1.248031496" right="0.236220472440945" top="0.511811023622047" bottom="0.511811023622047" header="0.511811023622047" footer="0.236220472440945"/>
  <pageSetup fitToHeight="1" fitToWidth="1" horizontalDpi="300" verticalDpi="300" orientation="portrait" paperSize="9" scale="73" r:id="rId1"/>
  <headerFooter alignWithMargins="0">
    <oddFooter>&amp;C1</oddFooter>
  </headerFooter>
</worksheet>
</file>

<file path=xl/worksheets/sheet10.xml><?xml version="1.0" encoding="utf-8"?>
<worksheet xmlns="http://schemas.openxmlformats.org/spreadsheetml/2006/main" xmlns:r="http://schemas.openxmlformats.org/officeDocument/2006/relationships">
  <sheetPr>
    <tabColor rgb="FFFF0000"/>
  </sheetPr>
  <dimension ref="J13:O19"/>
  <sheetViews>
    <sheetView zoomScalePageLayoutView="0" workbookViewId="0" topLeftCell="A1">
      <selection activeCell="D23" sqref="D23"/>
    </sheetView>
  </sheetViews>
  <sheetFormatPr defaultColWidth="9.140625" defaultRowHeight="12.75"/>
  <sheetData>
    <row r="13" ht="15.75">
      <c r="J13" s="69">
        <v>-450322</v>
      </c>
    </row>
    <row r="14" ht="15">
      <c r="J14" s="381">
        <v>303278</v>
      </c>
    </row>
    <row r="15" ht="15.75">
      <c r="J15" s="69"/>
    </row>
    <row r="16" spans="10:15" ht="15.75">
      <c r="J16" s="69">
        <v>900644</v>
      </c>
      <c r="O16">
        <v>33708</v>
      </c>
    </row>
    <row r="17" ht="12.75">
      <c r="O17">
        <v>16854</v>
      </c>
    </row>
    <row r="18" ht="12.75">
      <c r="O18">
        <v>16854</v>
      </c>
    </row>
    <row r="19" ht="12.75">
      <c r="O19">
        <v>34200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M54"/>
  <sheetViews>
    <sheetView showGridLines="0" defaultGridColor="0" zoomScale="80" zoomScaleNormal="80" zoomScalePageLayoutView="0" colorId="22" workbookViewId="0" topLeftCell="A28">
      <selection activeCell="B1" sqref="B1:E54"/>
    </sheetView>
  </sheetViews>
  <sheetFormatPr defaultColWidth="9.421875" defaultRowHeight="15" customHeight="1"/>
  <cols>
    <col min="1" max="1" width="3.00390625" style="24" customWidth="1"/>
    <col min="2" max="2" width="67.7109375" style="24" customWidth="1"/>
    <col min="3" max="3" width="10.140625" style="24" customWidth="1"/>
    <col min="4" max="4" width="14.7109375" style="36" customWidth="1"/>
    <col min="5" max="5" width="15.421875" style="25" customWidth="1"/>
    <col min="6" max="6" width="13.140625" style="25" customWidth="1"/>
    <col min="7" max="7" width="10.8515625" style="24" bestFit="1" customWidth="1"/>
    <col min="8" max="16384" width="9.421875" style="24" customWidth="1"/>
  </cols>
  <sheetData>
    <row r="1" spans="2:5" ht="24.75" customHeight="1">
      <c r="B1" s="419" t="s">
        <v>73</v>
      </c>
      <c r="C1" s="419"/>
      <c r="D1" s="419"/>
      <c r="E1" s="419"/>
    </row>
    <row r="2" spans="2:5" ht="30" customHeight="1">
      <c r="B2" s="417" t="s">
        <v>293</v>
      </c>
      <c r="C2" s="417"/>
      <c r="D2" s="417"/>
      <c r="E2" s="417"/>
    </row>
    <row r="3" spans="2:5" ht="15" customHeight="1">
      <c r="B3" s="423"/>
      <c r="C3" s="423"/>
      <c r="D3" s="422" t="s">
        <v>1684</v>
      </c>
      <c r="E3" s="422"/>
    </row>
    <row r="4" spans="2:5" ht="43.5" customHeight="1">
      <c r="B4" s="42" t="s">
        <v>0</v>
      </c>
      <c r="C4" s="42" t="s">
        <v>1</v>
      </c>
      <c r="D4" s="212" t="s">
        <v>820</v>
      </c>
      <c r="E4" s="393" t="s">
        <v>821</v>
      </c>
    </row>
    <row r="5" spans="2:5" ht="12.75" customHeight="1" hidden="1">
      <c r="B5" s="181"/>
      <c r="C5" s="29"/>
      <c r="D5" s="208"/>
      <c r="E5" s="213"/>
    </row>
    <row r="6" spans="2:5" ht="30" customHeight="1">
      <c r="B6" s="218" t="s">
        <v>16</v>
      </c>
      <c r="C6" s="29"/>
      <c r="D6" s="226"/>
      <c r="E6" s="227"/>
    </row>
    <row r="7" spans="2:5" ht="14.25" customHeight="1">
      <c r="B7" s="219" t="s">
        <v>17</v>
      </c>
      <c r="C7" s="29">
        <v>20</v>
      </c>
      <c r="D7" s="201">
        <f>SUM('ASSETS NOTES_2'!D88)</f>
        <v>162553590.23000002</v>
      </c>
      <c r="E7" s="227">
        <f>SUM('ASSETS NOTES_2'!E88)</f>
        <v>173053804.01999998</v>
      </c>
    </row>
    <row r="8" spans="2:5" ht="15" customHeight="1">
      <c r="B8" s="26" t="s">
        <v>18</v>
      </c>
      <c r="C8" s="29">
        <v>21</v>
      </c>
      <c r="D8" s="201">
        <f>SUM('ASSETS NOTES_2'!D95)</f>
        <v>1081276.15</v>
      </c>
      <c r="E8" s="227">
        <f>SUM('ASSETS NOTES_2'!E95)</f>
        <v>17723881.87</v>
      </c>
    </row>
    <row r="9" spans="2:5" ht="26.25" customHeight="1" thickBot="1">
      <c r="B9" s="220" t="s">
        <v>19</v>
      </c>
      <c r="C9" s="29"/>
      <c r="D9" s="231">
        <f>SUM(D7:D8)</f>
        <v>163634866.38000003</v>
      </c>
      <c r="E9" s="232">
        <f>SUM(E7:E8)</f>
        <v>190777685.89</v>
      </c>
    </row>
    <row r="10" spans="2:5" ht="27.75" customHeight="1" thickTop="1">
      <c r="B10" s="218" t="s">
        <v>20</v>
      </c>
      <c r="C10" s="29"/>
      <c r="D10" s="201"/>
      <c r="E10" s="227"/>
    </row>
    <row r="11" spans="2:5" ht="21" customHeight="1">
      <c r="B11" s="26" t="s">
        <v>21</v>
      </c>
      <c r="C11" s="29">
        <v>22</v>
      </c>
      <c r="D11" s="201">
        <f>SUM('ASSETS NOTES_2'!D101)</f>
        <v>87177969.52000001</v>
      </c>
      <c r="E11" s="227">
        <f>SUM('ASSETS NOTES_2'!E101)</f>
        <v>106283471.64</v>
      </c>
    </row>
    <row r="12" spans="2:5" ht="18" customHeight="1">
      <c r="B12" s="221" t="s">
        <v>174</v>
      </c>
      <c r="C12" s="29">
        <v>23</v>
      </c>
      <c r="D12" s="201">
        <f>SUM('ASSETS NOTES_2'!D113)</f>
        <v>-8925129.409999996</v>
      </c>
      <c r="E12" s="227">
        <f>SUM('ASSETS NOTES_2'!E113)</f>
        <v>-8052196</v>
      </c>
    </row>
    <row r="13" spans="2:5" ht="18" customHeight="1">
      <c r="B13" s="26" t="s">
        <v>129</v>
      </c>
      <c r="C13" s="209"/>
      <c r="D13" s="201">
        <v>40263829.92</v>
      </c>
      <c r="E13" s="227">
        <v>36442300</v>
      </c>
    </row>
    <row r="14" spans="2:5" ht="18" customHeight="1">
      <c r="B14" s="26" t="s">
        <v>22</v>
      </c>
      <c r="C14" s="29">
        <v>24</v>
      </c>
      <c r="D14" s="201">
        <f>SUM('PL NOTES_2'!C14)</f>
        <v>52257728</v>
      </c>
      <c r="E14" s="227">
        <f>SUM('PL NOTES_2'!D14)</f>
        <v>41309215.94</v>
      </c>
    </row>
    <row r="15" spans="2:5" ht="18" customHeight="1">
      <c r="B15" s="26" t="s">
        <v>23</v>
      </c>
      <c r="C15" s="29">
        <v>25</v>
      </c>
      <c r="D15" s="201">
        <f>SUM('PL NOTES_2'!C20)</f>
        <v>44904679.69</v>
      </c>
      <c r="E15" s="227">
        <f>SUM('PL NOTES_2'!D20)</f>
        <v>32331592.19</v>
      </c>
    </row>
    <row r="16" spans="2:5" ht="18" customHeight="1">
      <c r="B16" s="26" t="s">
        <v>295</v>
      </c>
      <c r="C16" s="29" t="s">
        <v>67</v>
      </c>
      <c r="D16" s="201">
        <v>12338637</v>
      </c>
      <c r="E16" s="227">
        <f>SUM(15209940-4996578)</f>
        <v>10213362</v>
      </c>
    </row>
    <row r="17" spans="2:5" ht="18" customHeight="1">
      <c r="B17" s="26" t="s">
        <v>24</v>
      </c>
      <c r="C17" s="29">
        <v>26</v>
      </c>
      <c r="D17" s="201">
        <f>+'PL NOTES_2'!C46</f>
        <v>20303784.830000002</v>
      </c>
      <c r="E17" s="227">
        <f>+'PL NOTES_2'!D46</f>
        <v>15847167.08</v>
      </c>
    </row>
    <row r="18" spans="2:5" ht="27.75" customHeight="1" thickBot="1">
      <c r="B18" s="220" t="s">
        <v>25</v>
      </c>
      <c r="C18" s="29"/>
      <c r="D18" s="231">
        <f>SUM(D11:D17)</f>
        <v>248321499.55000004</v>
      </c>
      <c r="E18" s="232">
        <f>SUM(E11:E17)</f>
        <v>234374912.85</v>
      </c>
    </row>
    <row r="19" spans="2:5" ht="23.25" customHeight="1" thickTop="1">
      <c r="B19" s="222" t="s">
        <v>255</v>
      </c>
      <c r="C19" s="29"/>
      <c r="D19" s="201">
        <f>+D9-D18</f>
        <v>-84686633.17000002</v>
      </c>
      <c r="E19" s="227">
        <f>+E9-E18</f>
        <v>-43597226.96000001</v>
      </c>
    </row>
    <row r="20" spans="2:5" ht="23.25" customHeight="1">
      <c r="B20" s="222" t="s">
        <v>207</v>
      </c>
      <c r="C20" s="29"/>
      <c r="D20" s="201"/>
      <c r="E20" s="227"/>
    </row>
    <row r="21" spans="2:5" ht="23.25" customHeight="1">
      <c r="B21" s="223" t="s">
        <v>101</v>
      </c>
      <c r="D21" s="228">
        <v>68242005</v>
      </c>
      <c r="E21" s="229">
        <v>10967500</v>
      </c>
    </row>
    <row r="22" spans="2:5" ht="23.25" customHeight="1">
      <c r="B22" s="223" t="s">
        <v>297</v>
      </c>
      <c r="D22" s="228">
        <v>0</v>
      </c>
      <c r="E22" s="229">
        <v>-2375000</v>
      </c>
    </row>
    <row r="23" spans="2:5" ht="20.25" customHeight="1" thickBot="1">
      <c r="B23" s="222" t="s">
        <v>256</v>
      </c>
      <c r="C23" s="29"/>
      <c r="D23" s="231">
        <f>+D19+D21</f>
        <v>-16444628.170000017</v>
      </c>
      <c r="E23" s="232">
        <f>+E19+E21+E22</f>
        <v>-35004726.96000001</v>
      </c>
    </row>
    <row r="24" spans="2:5" ht="18" customHeight="1" thickTop="1">
      <c r="B24" s="224"/>
      <c r="C24" s="216"/>
      <c r="D24" s="224" t="s">
        <v>67</v>
      </c>
      <c r="E24" s="217"/>
    </row>
    <row r="25" spans="2:13" ht="29.25" customHeight="1">
      <c r="B25" s="24" t="s">
        <v>242</v>
      </c>
      <c r="D25" s="34">
        <f>D19/'LIA NOTES_2'!C18</f>
        <v>-11.896980495425193</v>
      </c>
      <c r="E25" s="35">
        <f>+E19/'LIA NOTES_2'!C18</f>
        <v>-6.124642572063954</v>
      </c>
      <c r="F25" s="33"/>
      <c r="G25" s="24" t="s">
        <v>67</v>
      </c>
      <c r="M25" s="24" t="s">
        <v>67</v>
      </c>
    </row>
    <row r="26" spans="2:6" ht="18" customHeight="1">
      <c r="B26" s="24" t="s">
        <v>243</v>
      </c>
      <c r="D26" s="34">
        <f>D23/'LIA NOTES_2'!C18</f>
        <v>-2.310180642088807</v>
      </c>
      <c r="E26" s="35">
        <f>+E23/'LIA NOTES_2'!C18</f>
        <v>-4.917547649518919</v>
      </c>
      <c r="F26" s="33"/>
    </row>
    <row r="27" spans="2:5" ht="25.5" customHeight="1">
      <c r="B27" s="180" t="s">
        <v>210</v>
      </c>
      <c r="C27" s="29">
        <v>1</v>
      </c>
      <c r="D27" s="34"/>
      <c r="E27" s="35"/>
    </row>
    <row r="28" spans="2:7" ht="15">
      <c r="B28" s="28" t="s">
        <v>211</v>
      </c>
      <c r="C28" s="29">
        <v>27</v>
      </c>
      <c r="D28" s="34"/>
      <c r="E28" s="35"/>
      <c r="G28" s="32"/>
    </row>
    <row r="29" spans="2:5" ht="15">
      <c r="B29" s="28"/>
      <c r="C29" s="29"/>
      <c r="D29" s="34"/>
      <c r="E29" s="35"/>
    </row>
    <row r="30" spans="2:5" ht="15">
      <c r="B30" s="28" t="s">
        <v>240</v>
      </c>
      <c r="C30" s="29"/>
      <c r="D30" s="34"/>
      <c r="E30" s="35"/>
    </row>
    <row r="32" spans="2:5" ht="14.25" customHeight="1">
      <c r="B32" s="412" t="s">
        <v>241</v>
      </c>
      <c r="C32" s="412"/>
      <c r="D32" s="412"/>
      <c r="E32" s="412"/>
    </row>
    <row r="33" spans="2:5" ht="15" customHeight="1">
      <c r="B33" s="416" t="s">
        <v>161</v>
      </c>
      <c r="C33" s="416"/>
      <c r="D33" s="416"/>
      <c r="E33" s="416"/>
    </row>
    <row r="34" spans="2:5" ht="15" customHeight="1">
      <c r="B34" s="12"/>
      <c r="C34" s="16"/>
      <c r="D34" s="198"/>
      <c r="E34" s="172" t="s">
        <v>175</v>
      </c>
    </row>
    <row r="35" spans="2:5" ht="15" customHeight="1">
      <c r="B35" s="12"/>
      <c r="C35" s="12"/>
      <c r="D35" s="198"/>
      <c r="E35" s="172" t="s">
        <v>160</v>
      </c>
    </row>
    <row r="36" spans="2:5" ht="15" customHeight="1">
      <c r="B36" s="20" t="s">
        <v>1667</v>
      </c>
      <c r="C36" s="12"/>
      <c r="D36" s="17"/>
      <c r="E36" s="17"/>
    </row>
    <row r="37" spans="2:5" ht="15" customHeight="1">
      <c r="B37" s="12" t="s">
        <v>125</v>
      </c>
      <c r="C37" s="12"/>
      <c r="D37" s="17"/>
      <c r="E37" s="17"/>
    </row>
    <row r="38" spans="2:5" ht="15" customHeight="1">
      <c r="B38" s="20" t="s">
        <v>67</v>
      </c>
      <c r="C38" s="12"/>
      <c r="D38" s="17"/>
      <c r="E38" s="17"/>
    </row>
    <row r="39" spans="2:5" ht="15" customHeight="1">
      <c r="B39" s="20"/>
      <c r="C39" s="414" t="s">
        <v>1689</v>
      </c>
      <c r="D39" s="414"/>
      <c r="E39" s="414"/>
    </row>
    <row r="40" spans="2:5" ht="15" customHeight="1">
      <c r="B40" s="20"/>
      <c r="C40" s="20"/>
      <c r="D40" s="14"/>
      <c r="E40" s="19" t="s">
        <v>15</v>
      </c>
    </row>
    <row r="41" spans="2:5" ht="15" customHeight="1">
      <c r="B41" s="20" t="s">
        <v>1653</v>
      </c>
      <c r="C41" s="413" t="s">
        <v>1690</v>
      </c>
      <c r="D41" s="413"/>
      <c r="E41" s="413"/>
    </row>
    <row r="42" spans="2:5" ht="15" customHeight="1">
      <c r="B42" s="12" t="s">
        <v>1670</v>
      </c>
      <c r="C42" s="171"/>
      <c r="D42" s="171"/>
      <c r="E42" s="171"/>
    </row>
    <row r="43" spans="3:5" ht="15" customHeight="1">
      <c r="C43" s="171"/>
      <c r="D43" s="171"/>
      <c r="E43" s="171"/>
    </row>
    <row r="44" spans="2:5" ht="15" customHeight="1">
      <c r="B44" s="20"/>
      <c r="C44" s="421" t="s">
        <v>67</v>
      </c>
      <c r="D44" s="421"/>
      <c r="E44" s="12"/>
    </row>
    <row r="45" spans="2:5" ht="15" customHeight="1">
      <c r="B45" s="20"/>
      <c r="C45" s="414" t="s">
        <v>1669</v>
      </c>
      <c r="D45" s="414"/>
      <c r="E45" s="414"/>
    </row>
    <row r="46" spans="2:5" ht="15" customHeight="1">
      <c r="B46" s="20" t="s">
        <v>1668</v>
      </c>
      <c r="C46" s="411" t="s">
        <v>127</v>
      </c>
      <c r="D46" s="411"/>
      <c r="E46" s="411"/>
    </row>
    <row r="47" spans="2:5" ht="15" customHeight="1">
      <c r="B47" s="12" t="s">
        <v>126</v>
      </c>
      <c r="C47" s="412" t="s">
        <v>158</v>
      </c>
      <c r="D47" s="412"/>
      <c r="E47" s="412"/>
    </row>
    <row r="48" spans="3:5" ht="15" customHeight="1">
      <c r="C48" s="413" t="s">
        <v>159</v>
      </c>
      <c r="D48" s="413"/>
      <c r="E48" s="413"/>
    </row>
    <row r="49" spans="2:5" ht="15" customHeight="1">
      <c r="B49" s="12"/>
      <c r="C49" s="15"/>
      <c r="D49" s="15"/>
      <c r="E49" s="22"/>
    </row>
    <row r="50" spans="2:5" ht="15" customHeight="1">
      <c r="B50" s="20" t="s">
        <v>1691</v>
      </c>
      <c r="C50" s="12"/>
      <c r="D50" s="21"/>
      <c r="E50" s="22"/>
    </row>
    <row r="51" spans="2:5" ht="15" customHeight="1">
      <c r="B51" s="20" t="s">
        <v>1692</v>
      </c>
      <c r="C51" s="12"/>
      <c r="D51" s="12"/>
      <c r="E51" s="179"/>
    </row>
    <row r="52" spans="2:5" ht="15" customHeight="1">
      <c r="B52" s="12"/>
      <c r="C52" s="12"/>
      <c r="D52" s="12"/>
      <c r="E52" s="179"/>
    </row>
    <row r="53" ht="15" customHeight="1">
      <c r="B53" s="16" t="s">
        <v>128</v>
      </c>
    </row>
    <row r="54" ht="15" customHeight="1">
      <c r="B54" s="16" t="s">
        <v>1671</v>
      </c>
    </row>
  </sheetData>
  <sheetProtection/>
  <mergeCells count="13">
    <mergeCell ref="B1:E1"/>
    <mergeCell ref="B2:E2"/>
    <mergeCell ref="B3:C3"/>
    <mergeCell ref="B32:E32"/>
    <mergeCell ref="B33:E33"/>
    <mergeCell ref="C41:E41"/>
    <mergeCell ref="C39:E39"/>
    <mergeCell ref="C44:D44"/>
    <mergeCell ref="C45:E45"/>
    <mergeCell ref="C46:E46"/>
    <mergeCell ref="C47:E47"/>
    <mergeCell ref="C48:E48"/>
    <mergeCell ref="D3:E3"/>
  </mergeCells>
  <printOptions/>
  <pageMargins left="1.2" right="0.7" top="0.75" bottom="0.75" header="0.3" footer="0.3"/>
  <pageSetup firstPageNumber="2" useFirstPageNumber="1" fitToHeight="1" fitToWidth="1" horizontalDpi="300" verticalDpi="300" orientation="portrait" paperSize="9" scale="76"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61"/>
  <sheetViews>
    <sheetView defaultGridColor="0" zoomScale="80" zoomScaleNormal="80" zoomScalePageLayoutView="0" colorId="22" workbookViewId="0" topLeftCell="A199">
      <selection activeCell="A136" sqref="A136:E158"/>
    </sheetView>
  </sheetViews>
  <sheetFormatPr defaultColWidth="9.421875" defaultRowHeight="15" customHeight="1"/>
  <cols>
    <col min="1" max="1" width="2.421875" style="24" customWidth="1"/>
    <col min="2" max="2" width="56.00390625" style="24" customWidth="1"/>
    <col min="3" max="4" width="15.421875" style="205" customWidth="1"/>
    <col min="5" max="5" width="15.00390625" style="198" customWidth="1"/>
    <col min="6" max="6" width="15.140625" style="205" customWidth="1"/>
    <col min="7" max="7" width="12.57421875" style="24" customWidth="1"/>
    <col min="8" max="8" width="13.7109375" style="24" customWidth="1"/>
    <col min="9" max="9" width="12.57421875" style="24" bestFit="1" customWidth="1"/>
    <col min="10" max="10" width="10.00390625" style="24" bestFit="1" customWidth="1"/>
    <col min="11" max="16384" width="9.421875" style="24" customWidth="1"/>
  </cols>
  <sheetData>
    <row r="1" spans="2:7" ht="18.75" customHeight="1">
      <c r="B1" s="419" t="s">
        <v>73</v>
      </c>
      <c r="C1" s="419"/>
      <c r="D1" s="419"/>
      <c r="E1" s="419"/>
      <c r="F1" s="419"/>
      <c r="G1" s="236"/>
    </row>
    <row r="2" spans="2:7" ht="24.75" customHeight="1">
      <c r="B2" s="440" t="s">
        <v>40</v>
      </c>
      <c r="C2" s="440"/>
      <c r="D2" s="440"/>
      <c r="E2" s="440"/>
      <c r="F2" s="440"/>
      <c r="G2" s="238"/>
    </row>
    <row r="3" spans="2:7" ht="15.75" customHeight="1">
      <c r="B3" s="233"/>
      <c r="C3" s="415" t="s">
        <v>124</v>
      </c>
      <c r="D3" s="415"/>
      <c r="E3" s="415"/>
      <c r="F3" s="415"/>
      <c r="G3" s="40"/>
    </row>
    <row r="4" spans="2:6" ht="18.75" customHeight="1">
      <c r="B4" s="446" t="s">
        <v>105</v>
      </c>
      <c r="C4" s="225" t="s">
        <v>820</v>
      </c>
      <c r="D4" s="260" t="s">
        <v>821</v>
      </c>
      <c r="E4" s="225" t="s">
        <v>820</v>
      </c>
      <c r="F4" s="260" t="s">
        <v>821</v>
      </c>
    </row>
    <row r="5" spans="2:6" ht="32.25" customHeight="1">
      <c r="B5" s="447"/>
      <c r="C5" s="386" t="s">
        <v>178</v>
      </c>
      <c r="D5" s="387" t="s">
        <v>178</v>
      </c>
      <c r="E5" s="195" t="s">
        <v>179</v>
      </c>
      <c r="F5" s="261" t="s">
        <v>179</v>
      </c>
    </row>
    <row r="6" spans="2:6" ht="15" customHeight="1">
      <c r="B6" s="242" t="s">
        <v>235</v>
      </c>
      <c r="C6" s="262"/>
      <c r="D6" s="263"/>
      <c r="E6" s="262"/>
      <c r="F6" s="264"/>
    </row>
    <row r="7" spans="2:6" ht="15" customHeight="1">
      <c r="B7" s="243" t="s">
        <v>162</v>
      </c>
      <c r="C7" s="228"/>
      <c r="D7" s="193"/>
      <c r="E7" s="228"/>
      <c r="F7" s="229"/>
    </row>
    <row r="8" spans="2:6" ht="15" customHeight="1">
      <c r="B8" s="244" t="s">
        <v>164</v>
      </c>
      <c r="C8" s="201">
        <v>10000000</v>
      </c>
      <c r="D8" s="205">
        <v>10000000</v>
      </c>
      <c r="E8" s="201">
        <f>SUM(C8*10)</f>
        <v>100000000</v>
      </c>
      <c r="F8" s="227">
        <f>SUM(D8*10)</f>
        <v>100000000</v>
      </c>
    </row>
    <row r="9" spans="2:6" ht="14.25" customHeight="1">
      <c r="B9" s="245" t="s">
        <v>244</v>
      </c>
      <c r="C9" s="201">
        <v>500000</v>
      </c>
      <c r="D9" s="205">
        <v>500000</v>
      </c>
      <c r="E9" s="201">
        <f>SUM(C9*100)</f>
        <v>50000000</v>
      </c>
      <c r="F9" s="227">
        <f>SUM(D9*100)</f>
        <v>50000000</v>
      </c>
    </row>
    <row r="10" spans="2:6" ht="15">
      <c r="B10" s="246" t="s">
        <v>26</v>
      </c>
      <c r="C10" s="201" t="s">
        <v>67</v>
      </c>
      <c r="D10" s="205" t="s">
        <v>67</v>
      </c>
      <c r="E10" s="408">
        <f>SUM(E8:E9)</f>
        <v>150000000</v>
      </c>
      <c r="F10" s="410">
        <f>SUM(F8:F9)</f>
        <v>150000000</v>
      </c>
    </row>
    <row r="11" spans="2:6" ht="15.75" customHeight="1">
      <c r="B11" s="243" t="s">
        <v>163</v>
      </c>
      <c r="C11" s="228"/>
      <c r="D11" s="193"/>
      <c r="E11" s="228"/>
      <c r="F11" s="229"/>
    </row>
    <row r="12" spans="2:6" ht="15.75" customHeight="1">
      <c r="B12" s="244" t="s">
        <v>186</v>
      </c>
      <c r="C12" s="201">
        <v>7119421</v>
      </c>
      <c r="D12" s="205">
        <v>7119421</v>
      </c>
      <c r="E12" s="201">
        <f>SUM(C12*10)</f>
        <v>71194210</v>
      </c>
      <c r="F12" s="227">
        <f>SUM(D12*10)</f>
        <v>71194210</v>
      </c>
    </row>
    <row r="13" spans="2:6" ht="15">
      <c r="B13" s="245" t="s">
        <v>67</v>
      </c>
      <c r="C13" s="200" t="s">
        <v>67</v>
      </c>
      <c r="D13" s="205" t="s">
        <v>67</v>
      </c>
      <c r="E13" s="200" t="s">
        <v>67</v>
      </c>
      <c r="F13" s="227" t="s">
        <v>67</v>
      </c>
    </row>
    <row r="14" spans="2:6" ht="15">
      <c r="B14" s="246" t="s">
        <v>26</v>
      </c>
      <c r="C14" s="201">
        <f>SUM(C12:C13)</f>
        <v>7119421</v>
      </c>
      <c r="D14" s="205">
        <f>SUM(D12:D13)</f>
        <v>7119421</v>
      </c>
      <c r="E14" s="408">
        <f>SUM(E12:E13)</f>
        <v>71194210</v>
      </c>
      <c r="F14" s="409">
        <f>SUM(F12:F13)</f>
        <v>71194210</v>
      </c>
    </row>
    <row r="15" spans="2:6" ht="20.25" customHeight="1">
      <c r="B15" s="243" t="s">
        <v>165</v>
      </c>
      <c r="C15" s="228"/>
      <c r="D15" s="193"/>
      <c r="E15" s="228"/>
      <c r="F15" s="229"/>
    </row>
    <row r="16" spans="2:6" ht="15.75" customHeight="1">
      <c r="B16" s="244" t="s">
        <v>186</v>
      </c>
      <c r="C16" s="201">
        <v>7118330</v>
      </c>
      <c r="D16" s="205">
        <v>7118330</v>
      </c>
      <c r="E16" s="201">
        <f>SUM(C16*10)</f>
        <v>71183300</v>
      </c>
      <c r="F16" s="227">
        <f>SUM(D16*10)</f>
        <v>71183300</v>
      </c>
    </row>
    <row r="17" spans="2:6" ht="15.75" customHeight="1">
      <c r="B17" s="245" t="s">
        <v>67</v>
      </c>
      <c r="C17" s="200" t="s">
        <v>67</v>
      </c>
      <c r="D17" s="205" t="s">
        <v>67</v>
      </c>
      <c r="E17" s="200" t="s">
        <v>67</v>
      </c>
      <c r="F17" s="227" t="s">
        <v>67</v>
      </c>
    </row>
    <row r="18" spans="2:6" ht="15.75" customHeight="1" thickBot="1">
      <c r="B18" s="247" t="s">
        <v>26</v>
      </c>
      <c r="C18" s="265">
        <v>7118330</v>
      </c>
      <c r="D18" s="266">
        <v>7118330</v>
      </c>
      <c r="E18" s="384">
        <f>SUM(E16:E17)</f>
        <v>71183300</v>
      </c>
      <c r="F18" s="385">
        <f>SUM(F16:F17)</f>
        <v>71183300</v>
      </c>
    </row>
    <row r="19" spans="2:7" ht="34.5" customHeight="1" thickTop="1">
      <c r="B19" s="239" t="s">
        <v>185</v>
      </c>
      <c r="C19" s="436" t="s">
        <v>67</v>
      </c>
      <c r="D19" s="436"/>
      <c r="E19" s="436"/>
      <c r="F19" s="436"/>
      <c r="G19" s="240" t="s">
        <v>67</v>
      </c>
    </row>
    <row r="20" spans="2:7" ht="18.75" customHeight="1">
      <c r="B20" s="452" t="s">
        <v>105</v>
      </c>
      <c r="C20" s="450" t="s">
        <v>820</v>
      </c>
      <c r="D20" s="450"/>
      <c r="E20" s="451" t="s">
        <v>821</v>
      </c>
      <c r="F20" s="451"/>
      <c r="G20" s="240"/>
    </row>
    <row r="21" spans="2:7" ht="27.75" customHeight="1">
      <c r="B21" s="453"/>
      <c r="C21" s="448" t="s">
        <v>180</v>
      </c>
      <c r="D21" s="448"/>
      <c r="E21" s="449" t="s">
        <v>180</v>
      </c>
      <c r="F21" s="449"/>
      <c r="G21" s="24" t="s">
        <v>67</v>
      </c>
    </row>
    <row r="22" spans="2:7" ht="15.75" customHeight="1">
      <c r="B22" s="248" t="s">
        <v>181</v>
      </c>
      <c r="C22" s="463">
        <f>SUM(C18)</f>
        <v>7118330</v>
      </c>
      <c r="D22" s="464"/>
      <c r="E22" s="456">
        <f>SUM(D18)</f>
        <v>7118330</v>
      </c>
      <c r="F22" s="457"/>
      <c r="G22" s="25" t="s">
        <v>67</v>
      </c>
    </row>
    <row r="23" spans="2:7" ht="15.75" customHeight="1">
      <c r="B23" s="245" t="s">
        <v>182</v>
      </c>
      <c r="C23" s="462" t="s">
        <v>258</v>
      </c>
      <c r="D23" s="459"/>
      <c r="E23" s="458" t="s">
        <v>258</v>
      </c>
      <c r="F23" s="459"/>
      <c r="G23" s="35" t="s">
        <v>67</v>
      </c>
    </row>
    <row r="24" spans="2:7" ht="15.75" customHeight="1">
      <c r="B24" s="249" t="s">
        <v>183</v>
      </c>
      <c r="C24" s="454">
        <f>SUM(C22)</f>
        <v>7118330</v>
      </c>
      <c r="D24" s="455"/>
      <c r="E24" s="460">
        <f>SUM(E22)</f>
        <v>7118330</v>
      </c>
      <c r="F24" s="461"/>
      <c r="G24" s="25" t="s">
        <v>67</v>
      </c>
    </row>
    <row r="25" spans="2:7" ht="15.75" customHeight="1">
      <c r="B25" s="211" t="s">
        <v>67</v>
      </c>
      <c r="C25" s="205" t="s">
        <v>67</v>
      </c>
      <c r="D25" s="205" t="s">
        <v>67</v>
      </c>
      <c r="E25" s="205" t="s">
        <v>67</v>
      </c>
      <c r="F25" s="205" t="s">
        <v>67</v>
      </c>
      <c r="G25" s="35" t="s">
        <v>67</v>
      </c>
    </row>
    <row r="26" spans="2:7" ht="28.5" customHeight="1">
      <c r="B26" s="239" t="s">
        <v>184</v>
      </c>
      <c r="C26" s="436" t="s">
        <v>67</v>
      </c>
      <c r="D26" s="436"/>
      <c r="E26" s="439" t="s">
        <v>67</v>
      </c>
      <c r="F26" s="439"/>
      <c r="G26" s="24" t="s">
        <v>67</v>
      </c>
    </row>
    <row r="27" spans="2:7" ht="36.75" customHeight="1">
      <c r="B27" s="250" t="s">
        <v>249</v>
      </c>
      <c r="C27" s="386" t="s">
        <v>166</v>
      </c>
      <c r="D27" s="387" t="s">
        <v>166</v>
      </c>
      <c r="E27" s="386" t="s">
        <v>167</v>
      </c>
      <c r="F27" s="387" t="s">
        <v>167</v>
      </c>
      <c r="G27" s="24" t="s">
        <v>67</v>
      </c>
    </row>
    <row r="28" spans="2:6" ht="15.75" customHeight="1">
      <c r="B28" s="251" t="s">
        <v>1708</v>
      </c>
      <c r="C28" s="269">
        <v>431823</v>
      </c>
      <c r="D28" s="270">
        <v>431823</v>
      </c>
      <c r="E28" s="288">
        <v>6.06</v>
      </c>
      <c r="F28" s="289">
        <v>6.06</v>
      </c>
    </row>
    <row r="29" spans="2:6" ht="15.75" customHeight="1">
      <c r="B29" s="252" t="s">
        <v>168</v>
      </c>
      <c r="C29" s="271">
        <v>666087</v>
      </c>
      <c r="D29" s="272">
        <v>666087</v>
      </c>
      <c r="E29" s="290">
        <v>9.36</v>
      </c>
      <c r="F29" s="291">
        <v>9.36</v>
      </c>
    </row>
    <row r="30" spans="2:6" ht="15.75" customHeight="1">
      <c r="B30" s="252" t="s">
        <v>187</v>
      </c>
      <c r="C30" s="271">
        <v>369916</v>
      </c>
      <c r="D30" s="272">
        <v>369916</v>
      </c>
      <c r="E30" s="290">
        <v>5.2</v>
      </c>
      <c r="F30" s="291">
        <v>5.2</v>
      </c>
    </row>
    <row r="31" spans="2:6" ht="15.75" customHeight="1">
      <c r="B31" s="252" t="s">
        <v>169</v>
      </c>
      <c r="C31" s="271">
        <v>937264</v>
      </c>
      <c r="D31" s="272">
        <v>937264</v>
      </c>
      <c r="E31" s="290">
        <v>13.17</v>
      </c>
      <c r="F31" s="291">
        <v>13.17</v>
      </c>
    </row>
    <row r="32" spans="2:6" ht="15.75" customHeight="1">
      <c r="B32" s="252" t="s">
        <v>170</v>
      </c>
      <c r="C32" s="271">
        <v>618725</v>
      </c>
      <c r="D32" s="272">
        <v>618725</v>
      </c>
      <c r="E32" s="290">
        <v>8.69</v>
      </c>
      <c r="F32" s="291">
        <v>8.69</v>
      </c>
    </row>
    <row r="33" spans="2:6" ht="15.75" customHeight="1">
      <c r="B33" s="252" t="s">
        <v>171</v>
      </c>
      <c r="C33" s="271">
        <v>563406</v>
      </c>
      <c r="D33" s="272">
        <v>563406</v>
      </c>
      <c r="E33" s="290">
        <v>7.92</v>
      </c>
      <c r="F33" s="291">
        <v>7.92</v>
      </c>
    </row>
    <row r="34" spans="2:6" ht="15.75" customHeight="1">
      <c r="B34" s="253" t="s">
        <v>172</v>
      </c>
      <c r="C34" s="274">
        <v>745500</v>
      </c>
      <c r="D34" s="275">
        <v>745500</v>
      </c>
      <c r="E34" s="292">
        <v>10.47</v>
      </c>
      <c r="F34" s="293">
        <v>10.47</v>
      </c>
    </row>
    <row r="35" spans="2:6" ht="15.75" customHeight="1">
      <c r="B35" s="211" t="s">
        <v>67</v>
      </c>
      <c r="C35" s="198" t="s">
        <v>67</v>
      </c>
      <c r="D35" s="198" t="s">
        <v>67</v>
      </c>
      <c r="E35" s="205" t="s">
        <v>67</v>
      </c>
      <c r="F35" s="205" t="s">
        <v>67</v>
      </c>
    </row>
    <row r="36" spans="2:6" ht="24.75" customHeight="1">
      <c r="B36" s="6" t="s">
        <v>173</v>
      </c>
      <c r="C36" s="276"/>
      <c r="D36" s="277"/>
      <c r="E36" s="277"/>
      <c r="F36" s="277"/>
    </row>
    <row r="37" spans="2:6" ht="31.5" customHeight="1">
      <c r="B37" s="437" t="s">
        <v>212</v>
      </c>
      <c r="C37" s="438"/>
      <c r="D37" s="438"/>
      <c r="E37" s="438"/>
      <c r="F37" s="438"/>
    </row>
    <row r="38" spans="2:6" ht="14.25" customHeight="1">
      <c r="B38" s="173"/>
      <c r="C38" s="383"/>
      <c r="D38" s="383"/>
      <c r="E38" s="383"/>
      <c r="F38" s="383"/>
    </row>
    <row r="39" spans="2:6" ht="30" customHeight="1">
      <c r="B39" s="437" t="s">
        <v>213</v>
      </c>
      <c r="C39" s="438"/>
      <c r="D39" s="438"/>
      <c r="E39" s="438"/>
      <c r="F39" s="438"/>
    </row>
    <row r="40" spans="2:6" ht="15" customHeight="1">
      <c r="B40" s="173"/>
      <c r="C40" s="383"/>
      <c r="D40" s="383"/>
      <c r="E40" s="383"/>
      <c r="F40" s="383"/>
    </row>
    <row r="41" spans="2:6" ht="18.75" customHeight="1">
      <c r="B41" s="445" t="s">
        <v>1693</v>
      </c>
      <c r="C41" s="445"/>
      <c r="D41" s="445"/>
      <c r="E41" s="445"/>
      <c r="F41" s="445"/>
    </row>
    <row r="42" spans="2:6" ht="18.75" customHeight="1">
      <c r="B42" s="445"/>
      <c r="C42" s="445"/>
      <c r="D42" s="445"/>
      <c r="E42" s="445"/>
      <c r="F42" s="445"/>
    </row>
    <row r="43" spans="2:6" ht="18.75" customHeight="1">
      <c r="B43" s="173"/>
      <c r="C43" s="278"/>
      <c r="D43" s="278"/>
      <c r="E43" s="278"/>
      <c r="F43" s="278"/>
    </row>
    <row r="44" spans="2:6" ht="15.75" customHeight="1">
      <c r="B44" s="419" t="s">
        <v>73</v>
      </c>
      <c r="C44" s="419"/>
      <c r="D44" s="419"/>
      <c r="E44" s="419"/>
      <c r="F44" s="279"/>
    </row>
    <row r="45" spans="2:5" ht="15.75" customHeight="1">
      <c r="B45" s="440" t="s">
        <v>1672</v>
      </c>
      <c r="C45" s="440"/>
      <c r="D45" s="202"/>
      <c r="E45" s="202"/>
    </row>
    <row r="46" spans="2:5" ht="15.75" customHeight="1">
      <c r="B46" s="441" t="s">
        <v>105</v>
      </c>
      <c r="C46" s="442"/>
      <c r="D46" s="424" t="s">
        <v>248</v>
      </c>
      <c r="E46" s="424"/>
    </row>
    <row r="47" spans="2:5" ht="24.75" customHeight="1">
      <c r="B47" s="443"/>
      <c r="C47" s="444"/>
      <c r="D47" s="267" t="s">
        <v>820</v>
      </c>
      <c r="E47" s="268" t="s">
        <v>821</v>
      </c>
    </row>
    <row r="48" spans="2:5" ht="18.75" customHeight="1">
      <c r="B48" s="242" t="s">
        <v>236</v>
      </c>
      <c r="C48" s="280"/>
      <c r="D48" s="262"/>
      <c r="E48" s="281"/>
    </row>
    <row r="49" spans="2:5" ht="18.75" customHeight="1">
      <c r="B49" s="255" t="s">
        <v>257</v>
      </c>
      <c r="C49" s="227"/>
      <c r="D49" s="282">
        <v>9645052</v>
      </c>
      <c r="E49" s="282">
        <v>9645052</v>
      </c>
    </row>
    <row r="50" spans="2:5" ht="18.75" customHeight="1" thickBot="1">
      <c r="B50" s="255"/>
      <c r="C50" s="227"/>
      <c r="D50" s="283">
        <f>+D49</f>
        <v>9645052</v>
      </c>
      <c r="E50" s="284">
        <f>+E49</f>
        <v>9645052</v>
      </c>
    </row>
    <row r="51" spans="2:5" ht="18.75" customHeight="1" thickTop="1">
      <c r="B51" s="186" t="s">
        <v>130</v>
      </c>
      <c r="C51" s="227"/>
      <c r="D51" s="201"/>
      <c r="E51" s="200"/>
    </row>
    <row r="52" spans="2:5" ht="15.75" customHeight="1">
      <c r="B52" s="245" t="s">
        <v>56</v>
      </c>
      <c r="C52" s="227"/>
      <c r="D52" s="201">
        <v>108107045</v>
      </c>
      <c r="E52" s="200">
        <v>108107045</v>
      </c>
    </row>
    <row r="53" spans="2:5" ht="16.5" customHeight="1" thickBot="1">
      <c r="B53" s="255"/>
      <c r="C53" s="227"/>
      <c r="D53" s="231">
        <f>SUM(D52)</f>
        <v>108107045</v>
      </c>
      <c r="E53" s="204">
        <f>SUM(E52)</f>
        <v>108107045</v>
      </c>
    </row>
    <row r="54" spans="2:5" ht="22.5" customHeight="1" thickTop="1">
      <c r="B54" s="255" t="s">
        <v>71</v>
      </c>
      <c r="C54" s="227"/>
      <c r="D54" s="200"/>
      <c r="E54" s="200"/>
    </row>
    <row r="55" spans="2:5" ht="18" customHeight="1">
      <c r="B55" s="244" t="s">
        <v>56</v>
      </c>
      <c r="C55" s="227"/>
      <c r="D55" s="201">
        <f>+E57</f>
        <v>30866293</v>
      </c>
      <c r="E55" s="200">
        <v>31362851</v>
      </c>
    </row>
    <row r="56" spans="2:5" ht="32.25" customHeight="1">
      <c r="B56" s="244" t="s">
        <v>70</v>
      </c>
      <c r="C56" s="227"/>
      <c r="D56" s="201">
        <v>3251600</v>
      </c>
      <c r="E56" s="200">
        <v>496558</v>
      </c>
    </row>
    <row r="57" spans="2:5" ht="32.25" customHeight="1" thickBot="1">
      <c r="B57" s="255"/>
      <c r="C57" s="227"/>
      <c r="D57" s="231">
        <f>SUM(D55-D56)</f>
        <v>27614693</v>
      </c>
      <c r="E57" s="204">
        <f>SUM(E55-E56)</f>
        <v>30866293</v>
      </c>
    </row>
    <row r="58" spans="2:5" ht="25.5" customHeight="1" thickTop="1">
      <c r="B58" s="255" t="s">
        <v>72</v>
      </c>
      <c r="C58" s="227"/>
      <c r="D58" s="200"/>
      <c r="E58" s="200"/>
    </row>
    <row r="59" spans="2:5" ht="17.25" customHeight="1">
      <c r="B59" s="244" t="s">
        <v>56</v>
      </c>
      <c r="C59" s="227"/>
      <c r="D59" s="201">
        <f>+E62</f>
        <v>38708994</v>
      </c>
      <c r="E59" s="200">
        <v>43705572</v>
      </c>
    </row>
    <row r="60" spans="2:5" ht="15" customHeight="1">
      <c r="B60" s="244" t="s">
        <v>131</v>
      </c>
      <c r="C60" s="227"/>
      <c r="D60" s="201"/>
      <c r="E60" s="201"/>
    </row>
    <row r="61" spans="2:5" ht="15" customHeight="1">
      <c r="B61" s="244" t="s">
        <v>132</v>
      </c>
      <c r="C61" s="227"/>
      <c r="D61" s="201">
        <v>0</v>
      </c>
      <c r="E61" s="200">
        <v>4996578</v>
      </c>
    </row>
    <row r="62" spans="2:7" ht="15" customHeight="1" thickBot="1">
      <c r="B62" s="255"/>
      <c r="C62" s="227"/>
      <c r="D62" s="231">
        <f>SUM(D59-D61)</f>
        <v>38708994</v>
      </c>
      <c r="E62" s="204">
        <f>SUM(E59-E61)</f>
        <v>38708994</v>
      </c>
      <c r="G62" s="24">
        <v>3275248</v>
      </c>
    </row>
    <row r="63" spans="2:7" ht="24" customHeight="1" thickTop="1">
      <c r="B63" s="186" t="s">
        <v>192</v>
      </c>
      <c r="C63" s="227"/>
      <c r="D63" s="201"/>
      <c r="E63" s="200"/>
      <c r="G63" s="24">
        <v>1636587</v>
      </c>
    </row>
    <row r="64" spans="2:7" ht="24" customHeight="1">
      <c r="B64" s="244" t="s">
        <v>56</v>
      </c>
      <c r="C64" s="227"/>
      <c r="D64" s="201">
        <f>+E67</f>
        <v>-97529199</v>
      </c>
      <c r="E64" s="200">
        <v>-62524472</v>
      </c>
      <c r="G64" s="24">
        <v>1361700</v>
      </c>
    </row>
    <row r="65" spans="2:5" ht="45.75" customHeight="1">
      <c r="B65" s="244" t="s">
        <v>1694</v>
      </c>
      <c r="C65" s="227"/>
      <c r="D65" s="201">
        <v>-21034229</v>
      </c>
      <c r="E65" s="201">
        <v>0</v>
      </c>
    </row>
    <row r="66" spans="2:8" ht="31.5" customHeight="1">
      <c r="B66" s="388" t="s">
        <v>1678</v>
      </c>
      <c r="C66" s="227"/>
      <c r="D66" s="201">
        <f>+PL_2!D23</f>
        <v>-16444628.170000017</v>
      </c>
      <c r="E66" s="200">
        <v>-35004727</v>
      </c>
      <c r="G66" s="24" t="s">
        <v>67</v>
      </c>
      <c r="H66" s="32" t="s">
        <v>67</v>
      </c>
    </row>
    <row r="67" spans="2:7" ht="28.5" customHeight="1" thickBot="1">
      <c r="B67" s="255"/>
      <c r="C67" s="227"/>
      <c r="D67" s="231">
        <f>+D64+D65+D66</f>
        <v>-135008056.17000002</v>
      </c>
      <c r="E67" s="204">
        <f>+E64+E66</f>
        <v>-97529199</v>
      </c>
      <c r="G67" s="32">
        <f>+D67+177212782.19</f>
        <v>42204726.01999998</v>
      </c>
    </row>
    <row r="68" spans="2:6" ht="24" customHeight="1" thickTop="1">
      <c r="B68" s="41"/>
      <c r="C68" s="227"/>
      <c r="D68" s="201"/>
      <c r="E68" s="200"/>
      <c r="F68" s="205" t="s">
        <v>67</v>
      </c>
    </row>
    <row r="69" spans="2:6" ht="17.25" customHeight="1" thickBot="1">
      <c r="B69" s="256"/>
      <c r="C69" s="230"/>
      <c r="D69" s="231">
        <f>+D67+D62+D57+D53+D50</f>
        <v>49067727.82999998</v>
      </c>
      <c r="E69" s="204">
        <f>+E67+E62+E57+E53+E50</f>
        <v>89798185</v>
      </c>
      <c r="F69" s="205" t="s">
        <v>67</v>
      </c>
    </row>
    <row r="70" spans="2:5" ht="17.25" customHeight="1" thickTop="1">
      <c r="B70" s="39"/>
      <c r="D70" s="198"/>
      <c r="E70" s="205"/>
    </row>
    <row r="71" spans="2:6" ht="33.75" customHeight="1">
      <c r="B71" s="241" t="s">
        <v>123</v>
      </c>
      <c r="C71" s="24"/>
      <c r="D71" s="24"/>
      <c r="E71" s="24"/>
      <c r="F71" s="24"/>
    </row>
    <row r="72" spans="2:6" ht="15">
      <c r="B72" s="425" t="s">
        <v>237</v>
      </c>
      <c r="C72" s="425"/>
      <c r="D72" s="424" t="s">
        <v>248</v>
      </c>
      <c r="E72" s="424"/>
      <c r="F72" s="24"/>
    </row>
    <row r="73" spans="2:6" ht="22.5" customHeight="1">
      <c r="B73" s="425"/>
      <c r="C73" s="425"/>
      <c r="D73" s="225" t="s">
        <v>820</v>
      </c>
      <c r="E73" s="260" t="s">
        <v>821</v>
      </c>
      <c r="F73" s="24"/>
    </row>
    <row r="74" spans="2:6" ht="24" customHeight="1">
      <c r="B74" s="297" t="s">
        <v>195</v>
      </c>
      <c r="C74" s="280"/>
      <c r="D74" s="295"/>
      <c r="E74" s="295"/>
      <c r="F74" s="24"/>
    </row>
    <row r="75" spans="2:6" ht="24" customHeight="1">
      <c r="B75" s="298" t="s">
        <v>193</v>
      </c>
      <c r="C75" s="227"/>
      <c r="D75" s="271"/>
      <c r="E75" s="296"/>
      <c r="F75" s="24"/>
    </row>
    <row r="76" spans="2:6" ht="24" customHeight="1">
      <c r="B76" s="299" t="s">
        <v>214</v>
      </c>
      <c r="C76" s="227"/>
      <c r="D76" s="271">
        <f>Liabilities!E15</f>
        <v>51568867</v>
      </c>
      <c r="E76" s="296">
        <f>Liabilities!G15</f>
        <v>49068545</v>
      </c>
      <c r="F76" s="24"/>
    </row>
    <row r="77" spans="2:6" ht="24" customHeight="1">
      <c r="B77" s="298" t="s">
        <v>1652</v>
      </c>
      <c r="C77" s="227"/>
      <c r="D77" s="271">
        <f>Liabilities!E25</f>
        <v>1299502</v>
      </c>
      <c r="E77" s="200">
        <f>+Liabilities!G37</f>
        <v>3800739</v>
      </c>
      <c r="F77" s="24"/>
    </row>
    <row r="78" spans="2:6" ht="18" customHeight="1">
      <c r="B78" s="298" t="s">
        <v>194</v>
      </c>
      <c r="C78" s="227"/>
      <c r="D78" s="271"/>
      <c r="E78" s="296"/>
      <c r="F78" s="24"/>
    </row>
    <row r="79" spans="2:7" ht="18" customHeight="1">
      <c r="B79" s="300" t="s">
        <v>215</v>
      </c>
      <c r="C79" s="227"/>
      <c r="D79" s="201">
        <f>Liabilities!E37</f>
        <v>1772067</v>
      </c>
      <c r="E79" s="200">
        <v>0</v>
      </c>
      <c r="F79" s="24"/>
      <c r="G79" s="24">
        <f>3800739+2472796</f>
        <v>6273535</v>
      </c>
    </row>
    <row r="80" spans="2:6" ht="18" customHeight="1">
      <c r="B80" s="298"/>
      <c r="C80" s="227"/>
      <c r="D80" s="271"/>
      <c r="E80" s="296"/>
      <c r="F80" s="24"/>
    </row>
    <row r="81" spans="2:6" ht="15.75" customHeight="1">
      <c r="B81" s="215" t="s">
        <v>196</v>
      </c>
      <c r="C81" s="227"/>
      <c r="D81" s="201"/>
      <c r="E81" s="200"/>
      <c r="F81" s="24"/>
    </row>
    <row r="82" spans="2:6" ht="15.75" customHeight="1">
      <c r="B82" s="184" t="s">
        <v>77</v>
      </c>
      <c r="C82" s="302"/>
      <c r="D82" s="201"/>
      <c r="E82" s="200"/>
      <c r="F82" s="24"/>
    </row>
    <row r="83" spans="2:6" ht="15.75" customHeight="1">
      <c r="B83" s="298" t="s">
        <v>1655</v>
      </c>
      <c r="C83" s="303"/>
      <c r="D83" s="201">
        <f>Liabilities!E50</f>
        <v>154354306</v>
      </c>
      <c r="E83" s="200">
        <f>Liabilities!G50</f>
        <v>9629990</v>
      </c>
      <c r="F83" s="24"/>
    </row>
    <row r="84" spans="2:6" ht="15.75" customHeight="1">
      <c r="B84" s="298" t="s">
        <v>1656</v>
      </c>
      <c r="C84" s="303"/>
      <c r="D84" s="201">
        <f>Liabilities!E66</f>
        <v>0</v>
      </c>
      <c r="E84" s="200">
        <f>Liabilities!G66</f>
        <v>19621000</v>
      </c>
      <c r="F84" s="24"/>
    </row>
    <row r="85" spans="2:9" ht="15.75" customHeight="1">
      <c r="B85" s="298" t="s">
        <v>1657</v>
      </c>
      <c r="C85" s="303"/>
      <c r="D85" s="201">
        <f>+Liabilities!E60</f>
        <v>4717690</v>
      </c>
      <c r="E85" s="200">
        <f>Liabilities!G58</f>
        <v>0</v>
      </c>
      <c r="F85" s="24"/>
      <c r="I85" s="44"/>
    </row>
    <row r="86" spans="2:6" ht="15.75" customHeight="1">
      <c r="B86" s="298" t="s">
        <v>78</v>
      </c>
      <c r="C86" s="303"/>
      <c r="D86" s="201">
        <f>Liabilities!E88</f>
        <v>0</v>
      </c>
      <c r="E86" s="200">
        <f>+Liabilities!G88</f>
        <v>421000</v>
      </c>
      <c r="F86" s="24"/>
    </row>
    <row r="87" spans="2:6" ht="15.75" customHeight="1" thickBot="1">
      <c r="B87" s="301"/>
      <c r="C87" s="230"/>
      <c r="D87" s="231">
        <f>SUM(D76:D86)</f>
        <v>213712432</v>
      </c>
      <c r="E87" s="204">
        <f>SUM(E76:E86)</f>
        <v>82541274</v>
      </c>
      <c r="F87" s="24"/>
    </row>
    <row r="88" spans="2:9" ht="36" customHeight="1" thickTop="1">
      <c r="B88" s="180" t="s">
        <v>216</v>
      </c>
      <c r="I88" s="25"/>
    </row>
    <row r="89" spans="2:9" ht="17.25" customHeight="1">
      <c r="B89" s="180"/>
      <c r="I89" s="25"/>
    </row>
    <row r="90" spans="2:6" ht="45" customHeight="1">
      <c r="B90" s="42" t="s">
        <v>53</v>
      </c>
      <c r="C90" s="267" t="s">
        <v>32</v>
      </c>
      <c r="D90" s="267" t="s">
        <v>33</v>
      </c>
      <c r="E90" s="225" t="s">
        <v>34</v>
      </c>
      <c r="F90" s="225" t="s">
        <v>35</v>
      </c>
    </row>
    <row r="91" spans="2:6" ht="15">
      <c r="B91" s="309"/>
      <c r="C91" s="306"/>
      <c r="D91" s="306"/>
      <c r="E91" s="307"/>
      <c r="F91" s="308"/>
    </row>
    <row r="92" spans="2:6" ht="15">
      <c r="B92" s="310" t="s">
        <v>107</v>
      </c>
      <c r="C92" s="305"/>
      <c r="D92" s="305"/>
      <c r="E92" s="273"/>
      <c r="F92" s="272"/>
    </row>
    <row r="93" spans="2:6" ht="19.5" customHeight="1">
      <c r="B93" s="304" t="s">
        <v>108</v>
      </c>
      <c r="C93" s="306">
        <v>63794308</v>
      </c>
      <c r="D93" s="306">
        <v>103</v>
      </c>
      <c r="E93" s="406">
        <v>17.4</v>
      </c>
      <c r="F93" s="308" t="s">
        <v>106</v>
      </c>
    </row>
    <row r="94" spans="2:6" ht="15">
      <c r="B94" s="189"/>
      <c r="C94" s="306"/>
      <c r="D94" s="306"/>
      <c r="E94" s="406"/>
      <c r="F94" s="308"/>
    </row>
    <row r="95" spans="2:6" ht="15">
      <c r="B95" s="310" t="s">
        <v>75</v>
      </c>
      <c r="C95" s="306"/>
      <c r="D95" s="306"/>
      <c r="E95" s="406"/>
      <c r="F95" s="308"/>
    </row>
    <row r="96" spans="2:6" ht="18" customHeight="1">
      <c r="B96" s="304" t="s">
        <v>1695</v>
      </c>
      <c r="C96" s="306">
        <v>3024416</v>
      </c>
      <c r="D96" s="306">
        <v>20</v>
      </c>
      <c r="E96" s="406">
        <v>10.31</v>
      </c>
      <c r="F96" s="308" t="s">
        <v>106</v>
      </c>
    </row>
    <row r="97" spans="2:6" ht="18" customHeight="1">
      <c r="B97" s="304" t="s">
        <v>74</v>
      </c>
      <c r="C97" s="306">
        <v>2563392</v>
      </c>
      <c r="D97" s="306">
        <v>30</v>
      </c>
      <c r="E97" s="406">
        <v>8.18</v>
      </c>
      <c r="F97" s="308" t="s">
        <v>106</v>
      </c>
    </row>
    <row r="98" spans="2:6" ht="18" customHeight="1">
      <c r="B98" s="304" t="s">
        <v>67</v>
      </c>
      <c r="C98" s="306" t="s">
        <v>67</v>
      </c>
      <c r="D98" s="306" t="s">
        <v>67</v>
      </c>
      <c r="E98" s="307" t="s">
        <v>67</v>
      </c>
      <c r="F98" s="308" t="s">
        <v>67</v>
      </c>
    </row>
    <row r="99" spans="2:6" ht="18" customHeight="1">
      <c r="B99" s="310" t="s">
        <v>1703</v>
      </c>
      <c r="C99" s="306"/>
      <c r="D99" s="306"/>
      <c r="E99" s="307"/>
      <c r="F99" s="308"/>
    </row>
    <row r="100" spans="2:6" ht="18" customHeight="1">
      <c r="B100" s="304" t="s">
        <v>219</v>
      </c>
      <c r="C100" s="306">
        <v>3223711</v>
      </c>
      <c r="D100" s="306"/>
      <c r="E100" s="307"/>
      <c r="F100" s="308"/>
    </row>
    <row r="101" spans="2:6" ht="18" customHeight="1">
      <c r="B101" s="304" t="s">
        <v>218</v>
      </c>
      <c r="C101" s="306">
        <v>4717690</v>
      </c>
      <c r="D101" s="306"/>
      <c r="E101" s="307"/>
      <c r="F101" s="308"/>
    </row>
    <row r="102" spans="2:6" ht="15">
      <c r="B102" s="304" t="s">
        <v>67</v>
      </c>
      <c r="C102" s="306"/>
      <c r="D102" s="306"/>
      <c r="E102" s="307"/>
      <c r="F102" s="308"/>
    </row>
    <row r="103" spans="2:6" ht="15">
      <c r="B103" s="310" t="s">
        <v>220</v>
      </c>
      <c r="C103" s="306"/>
      <c r="D103" s="306"/>
      <c r="E103" s="307"/>
      <c r="F103" s="308"/>
    </row>
    <row r="104" spans="2:6" ht="18" customHeight="1">
      <c r="B104" s="304" t="s">
        <v>219</v>
      </c>
      <c r="C104" s="306">
        <v>12254441</v>
      </c>
      <c r="D104" s="306"/>
      <c r="E104" s="307"/>
      <c r="F104" s="308"/>
    </row>
    <row r="105" spans="2:6" ht="18" customHeight="1">
      <c r="B105" s="304" t="s">
        <v>218</v>
      </c>
      <c r="C105" s="306">
        <v>51568867</v>
      </c>
      <c r="D105" s="306"/>
      <c r="E105" s="307"/>
      <c r="F105" s="308"/>
    </row>
    <row r="106" spans="2:6" ht="15">
      <c r="B106" s="304"/>
      <c r="C106" s="306"/>
      <c r="D106" s="306"/>
      <c r="E106" s="307"/>
      <c r="F106" s="308"/>
    </row>
    <row r="107" spans="2:6" ht="15">
      <c r="B107" s="310" t="s">
        <v>221</v>
      </c>
      <c r="C107" s="306"/>
      <c r="D107" s="306"/>
      <c r="E107" s="307"/>
      <c r="F107" s="308"/>
    </row>
    <row r="108" spans="2:6" ht="15">
      <c r="B108" s="304" t="s">
        <v>219</v>
      </c>
      <c r="C108" s="306">
        <v>2516239</v>
      </c>
      <c r="D108" s="306"/>
      <c r="E108" s="307"/>
      <c r="F108" s="308"/>
    </row>
    <row r="109" spans="2:6" ht="15">
      <c r="B109" s="304" t="s">
        <v>218</v>
      </c>
      <c r="C109" s="306">
        <v>3071569</v>
      </c>
      <c r="D109" s="306"/>
      <c r="E109" s="307"/>
      <c r="F109" s="308"/>
    </row>
    <row r="110" spans="2:6" ht="15">
      <c r="B110" s="311"/>
      <c r="C110" s="312"/>
      <c r="D110" s="312"/>
      <c r="E110" s="313"/>
      <c r="F110" s="314"/>
    </row>
    <row r="111" spans="2:6" ht="15">
      <c r="B111" s="234" t="s">
        <v>133</v>
      </c>
      <c r="C111" s="285"/>
      <c r="D111" s="285"/>
      <c r="E111" s="235"/>
      <c r="F111" s="286"/>
    </row>
    <row r="112" spans="2:6" ht="29.25" customHeight="1">
      <c r="B112" s="431" t="s">
        <v>245</v>
      </c>
      <c r="C112" s="431"/>
      <c r="D112" s="431"/>
      <c r="E112" s="431"/>
      <c r="F112" s="431"/>
    </row>
    <row r="113" spans="2:6" ht="21.75" customHeight="1">
      <c r="B113" s="432" t="s">
        <v>217</v>
      </c>
      <c r="C113" s="432"/>
      <c r="D113" s="432"/>
      <c r="E113" s="432"/>
      <c r="F113" s="432"/>
    </row>
    <row r="114" spans="2:6" ht="27.75" customHeight="1">
      <c r="B114" s="433" t="s">
        <v>222</v>
      </c>
      <c r="C114" s="433"/>
      <c r="D114" s="433"/>
      <c r="E114" s="433"/>
      <c r="F114" s="433"/>
    </row>
    <row r="115" spans="3:6" ht="19.5" customHeight="1">
      <c r="C115" s="210" t="s">
        <v>1675</v>
      </c>
      <c r="D115" s="210"/>
      <c r="E115" s="210"/>
      <c r="F115" s="210"/>
    </row>
    <row r="116" spans="2:6" ht="15">
      <c r="B116" s="43" t="s">
        <v>1674</v>
      </c>
      <c r="C116" s="315">
        <v>1326</v>
      </c>
      <c r="D116" s="285"/>
      <c r="E116" s="235"/>
      <c r="F116" s="286"/>
    </row>
    <row r="117" spans="2:6" ht="18.75" customHeight="1">
      <c r="B117" s="426" t="s">
        <v>53</v>
      </c>
      <c r="C117" s="427"/>
      <c r="D117" s="424" t="s">
        <v>248</v>
      </c>
      <c r="E117" s="424"/>
      <c r="F117" s="24"/>
    </row>
    <row r="118" spans="2:6" ht="18.75" customHeight="1">
      <c r="B118" s="428"/>
      <c r="C118" s="429"/>
      <c r="D118" s="195" t="s">
        <v>1677</v>
      </c>
      <c r="E118" s="261" t="s">
        <v>1673</v>
      </c>
      <c r="F118" s="24"/>
    </row>
    <row r="119" spans="2:6" ht="18.75" customHeight="1">
      <c r="B119" s="182" t="s">
        <v>270</v>
      </c>
      <c r="C119" s="320"/>
      <c r="D119" s="295"/>
      <c r="E119" s="316"/>
      <c r="F119" s="24"/>
    </row>
    <row r="120" spans="2:6" ht="18.75" customHeight="1">
      <c r="B120" s="318" t="s">
        <v>271</v>
      </c>
      <c r="C120" s="320"/>
      <c r="D120" s="307">
        <f>Liabilities!E95</f>
        <v>19200000</v>
      </c>
      <c r="E120" s="308">
        <f>+Liabilities!G95</f>
        <v>19200000</v>
      </c>
      <c r="F120" s="24"/>
    </row>
    <row r="121" spans="2:6" ht="18.75" customHeight="1" thickBot="1">
      <c r="B121" s="318"/>
      <c r="C121" s="320"/>
      <c r="D121" s="327">
        <f>+D120</f>
        <v>19200000</v>
      </c>
      <c r="E121" s="328">
        <f>+E120</f>
        <v>19200000</v>
      </c>
      <c r="F121" s="24"/>
    </row>
    <row r="122" spans="2:6" ht="15.75" customHeight="1" thickTop="1">
      <c r="B122" s="243" t="s">
        <v>273</v>
      </c>
      <c r="C122" s="227"/>
      <c r="D122" s="271"/>
      <c r="E122" s="296"/>
      <c r="F122" s="24"/>
    </row>
    <row r="123" spans="2:6" ht="15.75" customHeight="1">
      <c r="B123" s="184" t="s">
        <v>79</v>
      </c>
      <c r="C123" s="302"/>
      <c r="D123" s="271"/>
      <c r="E123" s="296"/>
      <c r="F123" s="24"/>
    </row>
    <row r="124" spans="2:6" ht="15.75" customHeight="1">
      <c r="B124" s="184" t="s">
        <v>176</v>
      </c>
      <c r="C124" s="302"/>
      <c r="D124" s="201">
        <f>Liabilities!E634</f>
        <v>5458844.27</v>
      </c>
      <c r="E124" s="200">
        <f>+Liabilities!G634</f>
        <v>4759615</v>
      </c>
      <c r="F124" s="24"/>
    </row>
    <row r="125" spans="2:6" ht="15.75" customHeight="1">
      <c r="B125" s="184" t="s">
        <v>177</v>
      </c>
      <c r="C125" s="302"/>
      <c r="D125" s="201">
        <f>(12580289-1687874-2191783)*0+10892415</f>
        <v>10892415</v>
      </c>
      <c r="E125" s="200">
        <f>+Liabilities!G635</f>
        <v>7121362</v>
      </c>
      <c r="F125" s="24"/>
    </row>
    <row r="126" spans="2:6" ht="15.75" customHeight="1" thickBot="1">
      <c r="B126" s="318"/>
      <c r="C126" s="227"/>
      <c r="D126" s="231">
        <f>SUM(D124:D125)</f>
        <v>16351259.27</v>
      </c>
      <c r="E126" s="204">
        <f>SUM(E124:E125)</f>
        <v>11880977</v>
      </c>
      <c r="F126" s="24"/>
    </row>
    <row r="127" spans="1:7" ht="25.5" customHeight="1" thickTop="1">
      <c r="A127" s="37"/>
      <c r="B127" s="319" t="s">
        <v>274</v>
      </c>
      <c r="C127" s="321"/>
      <c r="D127" s="200" t="s">
        <v>67</v>
      </c>
      <c r="E127" s="200" t="s">
        <v>67</v>
      </c>
      <c r="F127" s="25" t="s">
        <v>67</v>
      </c>
      <c r="G127" s="25"/>
    </row>
    <row r="128" spans="1:6" ht="15" customHeight="1">
      <c r="A128" s="37"/>
      <c r="B128" s="215" t="s">
        <v>195</v>
      </c>
      <c r="C128" s="322"/>
      <c r="D128" s="200"/>
      <c r="E128" s="200"/>
      <c r="F128" s="24"/>
    </row>
    <row r="129" spans="1:6" ht="15" customHeight="1">
      <c r="A129" s="37"/>
      <c r="B129" s="298" t="s">
        <v>193</v>
      </c>
      <c r="C129" s="322"/>
      <c r="D129" s="200"/>
      <c r="E129" s="200"/>
      <c r="F129" s="24"/>
    </row>
    <row r="130" spans="1:6" ht="15" customHeight="1">
      <c r="A130" s="37"/>
      <c r="B130" s="184" t="s">
        <v>76</v>
      </c>
      <c r="C130" s="302"/>
      <c r="D130" s="201">
        <f>Liabilities!E73</f>
        <v>11558533.6</v>
      </c>
      <c r="E130" s="200">
        <f>Liabilities!G73</f>
        <v>6798468.95</v>
      </c>
      <c r="F130" s="24"/>
    </row>
    <row r="131" spans="1:6" ht="15" customHeight="1">
      <c r="A131" s="37"/>
      <c r="B131" s="184" t="s">
        <v>223</v>
      </c>
      <c r="C131" s="302"/>
      <c r="D131" s="201">
        <f>Liabilities!E74</f>
        <v>60191549</v>
      </c>
      <c r="E131" s="200">
        <f>+Liabilities!G74+Liabilities!G75</f>
        <v>65167979</v>
      </c>
      <c r="F131" s="24"/>
    </row>
    <row r="132" spans="1:6" ht="15" customHeight="1">
      <c r="A132" s="37"/>
      <c r="B132" s="215" t="s">
        <v>196</v>
      </c>
      <c r="C132" s="323"/>
      <c r="D132" s="201"/>
      <c r="E132" s="201"/>
      <c r="F132" s="24"/>
    </row>
    <row r="133" spans="1:6" ht="15" customHeight="1">
      <c r="A133" s="37"/>
      <c r="B133" s="184" t="s">
        <v>46</v>
      </c>
      <c r="C133" s="302"/>
      <c r="D133" s="201">
        <f>Liabilities!E119</f>
        <v>25737284</v>
      </c>
      <c r="E133" s="200">
        <f>+Liabilities!G119</f>
        <v>53521212</v>
      </c>
      <c r="F133" s="24"/>
    </row>
    <row r="134" spans="1:5" ht="19.5" customHeight="1" thickBot="1">
      <c r="A134" s="37"/>
      <c r="B134" s="324" t="s">
        <v>1676</v>
      </c>
      <c r="C134" s="325"/>
      <c r="D134" s="231">
        <f>SUM(D130:D133)</f>
        <v>97487366.6</v>
      </c>
      <c r="E134" s="204">
        <f>SUM(E130:E133)</f>
        <v>125487659.95</v>
      </c>
    </row>
    <row r="135" spans="1:6" ht="86.25" customHeight="1" thickTop="1">
      <c r="A135" s="37"/>
      <c r="B135" s="434" t="s">
        <v>1704</v>
      </c>
      <c r="C135" s="435"/>
      <c r="D135" s="435"/>
      <c r="E135" s="435"/>
      <c r="F135" s="435"/>
    </row>
    <row r="136" spans="1:5" ht="15" customHeight="1">
      <c r="A136" s="37"/>
      <c r="B136" s="430" t="s">
        <v>53</v>
      </c>
      <c r="C136" s="430"/>
      <c r="D136" s="424" t="s">
        <v>248</v>
      </c>
      <c r="E136" s="424"/>
    </row>
    <row r="137" spans="1:5" ht="15" customHeight="1">
      <c r="A137" s="37"/>
      <c r="B137" s="430"/>
      <c r="C137" s="430"/>
      <c r="D137" s="195" t="s">
        <v>820</v>
      </c>
      <c r="E137" s="261" t="s">
        <v>821</v>
      </c>
    </row>
    <row r="138" spans="1:6" ht="20.25" customHeight="1">
      <c r="A138" s="37"/>
      <c r="B138" s="329" t="s">
        <v>275</v>
      </c>
      <c r="C138" s="333"/>
      <c r="D138" s="226"/>
      <c r="E138" s="294"/>
      <c r="F138" s="24"/>
    </row>
    <row r="139" spans="1:6" ht="16.5" customHeight="1">
      <c r="A139" s="37"/>
      <c r="B139" s="184" t="s">
        <v>43</v>
      </c>
      <c r="C139" s="302"/>
      <c r="D139" s="228">
        <f>+Liabilities!E407</f>
        <v>4032206</v>
      </c>
      <c r="E139" s="282">
        <f>Liabilities!G407</f>
        <v>4245071</v>
      </c>
      <c r="F139" s="24"/>
    </row>
    <row r="140" spans="1:7" ht="16.5" customHeight="1">
      <c r="A140" s="37"/>
      <c r="B140" s="184" t="s">
        <v>46</v>
      </c>
      <c r="C140" s="302"/>
      <c r="D140" s="201">
        <f>+Liabilities!E408</f>
        <v>35471631.18000001</v>
      </c>
      <c r="E140" s="200">
        <f>Liabilities!G408</f>
        <v>46905649.66</v>
      </c>
      <c r="F140" s="24"/>
      <c r="G140" s="25" t="s">
        <v>67</v>
      </c>
    </row>
    <row r="141" spans="1:7" ht="16.5" customHeight="1" thickBot="1">
      <c r="A141" s="37"/>
      <c r="B141" s="330"/>
      <c r="C141" s="334"/>
      <c r="D141" s="231">
        <f>SUM(D139:D140)</f>
        <v>39503837.18000001</v>
      </c>
      <c r="E141" s="204">
        <f>SUM(E139:E140)</f>
        <v>51150720.66</v>
      </c>
      <c r="F141" s="24"/>
      <c r="G141" s="24" t="s">
        <v>67</v>
      </c>
    </row>
    <row r="142" spans="1:6" ht="29.25" customHeight="1" thickTop="1">
      <c r="A142" s="37"/>
      <c r="B142" s="319" t="s">
        <v>276</v>
      </c>
      <c r="C142" s="321"/>
      <c r="D142" s="201"/>
      <c r="E142" s="200"/>
      <c r="F142" s="24"/>
    </row>
    <row r="143" spans="1:6" ht="19.5" customHeight="1">
      <c r="A143" s="37"/>
      <c r="B143" s="331" t="s">
        <v>224</v>
      </c>
      <c r="C143" s="335"/>
      <c r="D143" s="201">
        <f>Liabilities!E16</f>
        <v>12225441</v>
      </c>
      <c r="E143" s="200">
        <f>+Liabilities!G16</f>
        <v>43299662</v>
      </c>
      <c r="F143" s="25" t="s">
        <v>67</v>
      </c>
    </row>
    <row r="144" spans="1:6" ht="19.5" customHeight="1">
      <c r="A144" s="37"/>
      <c r="B144" s="331" t="s">
        <v>225</v>
      </c>
      <c r="C144" s="335"/>
      <c r="D144" s="201">
        <f>Liabilities!E26+Liabilities!E38</f>
        <v>2516239</v>
      </c>
      <c r="E144" s="200">
        <f>+Liabilities!G38</f>
        <v>2472796</v>
      </c>
      <c r="F144" s="25"/>
    </row>
    <row r="145" spans="1:6" ht="19.5" customHeight="1">
      <c r="A145" s="37"/>
      <c r="B145" s="331" t="s">
        <v>1658</v>
      </c>
      <c r="C145" s="335"/>
      <c r="D145" s="201">
        <f>+Liabilities!E61</f>
        <v>3223711</v>
      </c>
      <c r="E145" s="200">
        <v>0</v>
      </c>
      <c r="F145" s="25"/>
    </row>
    <row r="146" spans="1:6" ht="19.5" customHeight="1">
      <c r="A146" s="37"/>
      <c r="B146" s="184" t="s">
        <v>198</v>
      </c>
      <c r="C146" s="227"/>
      <c r="D146" s="201">
        <f>Liabilities!E628</f>
        <v>673127</v>
      </c>
      <c r="E146" s="200">
        <v>638456</v>
      </c>
      <c r="F146" s="25"/>
    </row>
    <row r="147" spans="1:8" ht="19.5" customHeight="1">
      <c r="A147" s="37"/>
      <c r="B147" s="331" t="s">
        <v>199</v>
      </c>
      <c r="C147" s="335"/>
      <c r="D147" s="201">
        <f>Liabilities!E631</f>
        <v>440069</v>
      </c>
      <c r="E147" s="200">
        <f>+Liabilities!G631</f>
        <v>1106611</v>
      </c>
      <c r="F147" s="25"/>
      <c r="H147" s="24">
        <f>7026214+165653+96942-6517881</f>
        <v>770928</v>
      </c>
    </row>
    <row r="148" spans="1:6" ht="19.5" customHeight="1">
      <c r="A148" s="37"/>
      <c r="B148" s="184" t="s">
        <v>264</v>
      </c>
      <c r="C148" s="336"/>
      <c r="D148" s="332">
        <f>Liabilities!E130</f>
        <v>17500000</v>
      </c>
      <c r="E148" s="206">
        <f>Liabilities!G130</f>
        <v>16500000</v>
      </c>
      <c r="F148" s="25"/>
    </row>
    <row r="149" spans="1:6" ht="19.5" customHeight="1">
      <c r="A149" s="37"/>
      <c r="B149" s="184" t="s">
        <v>260</v>
      </c>
      <c r="C149" s="227"/>
      <c r="D149" s="201">
        <v>0</v>
      </c>
      <c r="E149" s="200">
        <v>45000</v>
      </c>
      <c r="F149" s="25"/>
    </row>
    <row r="150" spans="1:6" ht="19.5" customHeight="1">
      <c r="A150" s="37"/>
      <c r="B150" s="184" t="s">
        <v>226</v>
      </c>
      <c r="C150" s="302"/>
      <c r="D150" s="201">
        <f>Liabilities!E449</f>
        <v>17369170.470000003</v>
      </c>
      <c r="E150" s="200">
        <f>Liabilities!G449</f>
        <v>25170497.78</v>
      </c>
      <c r="F150" s="25"/>
    </row>
    <row r="151" spans="1:7" ht="19.5" customHeight="1">
      <c r="A151" s="37"/>
      <c r="B151" s="184" t="s">
        <v>227</v>
      </c>
      <c r="C151" s="302"/>
      <c r="D151" s="201">
        <f>Liabilities!E622</f>
        <v>55580108.65</v>
      </c>
      <c r="E151" s="200">
        <v>43143505</v>
      </c>
      <c r="F151" s="25"/>
      <c r="G151" s="36" t="s">
        <v>67</v>
      </c>
    </row>
    <row r="152" spans="1:6" ht="24.75" customHeight="1" thickBot="1">
      <c r="A152" s="37"/>
      <c r="B152" s="330"/>
      <c r="C152" s="334"/>
      <c r="D152" s="231">
        <f>SUM(D143:D151)</f>
        <v>109527866.12</v>
      </c>
      <c r="E152" s="204">
        <f>SUM(E143:E151)</f>
        <v>132376527.78</v>
      </c>
      <c r="F152" s="38"/>
    </row>
    <row r="153" spans="1:6" ht="29.25" customHeight="1" thickTop="1">
      <c r="A153" s="37"/>
      <c r="B153" s="319" t="s">
        <v>277</v>
      </c>
      <c r="C153" s="321"/>
      <c r="D153" s="201"/>
      <c r="E153" s="200"/>
      <c r="F153" s="24"/>
    </row>
    <row r="154" spans="1:6" ht="15" customHeight="1" hidden="1">
      <c r="A154" s="37"/>
      <c r="B154" s="41" t="s">
        <v>27</v>
      </c>
      <c r="C154" s="227"/>
      <c r="D154" s="201" t="e">
        <f>#REF!/100000</f>
        <v>#REF!</v>
      </c>
      <c r="E154" s="200" t="e">
        <f>#REF!/100000</f>
        <v>#REF!</v>
      </c>
      <c r="F154" s="24"/>
    </row>
    <row r="155" spans="1:6" ht="19.5" customHeight="1">
      <c r="A155" s="37"/>
      <c r="B155" s="184" t="s">
        <v>228</v>
      </c>
      <c r="C155" s="302"/>
      <c r="D155" s="201">
        <f>1068265+619609</f>
        <v>1687874</v>
      </c>
      <c r="E155" s="200">
        <f>-Liabilities!I637</f>
        <v>2762168</v>
      </c>
      <c r="F155" s="24"/>
    </row>
    <row r="156" spans="1:6" ht="19.5" customHeight="1">
      <c r="A156" s="37"/>
      <c r="B156" s="298" t="s">
        <v>197</v>
      </c>
      <c r="C156" s="303"/>
      <c r="D156" s="201">
        <v>531248</v>
      </c>
      <c r="E156" s="200">
        <f>-Liabilities!G640</f>
        <v>888721</v>
      </c>
      <c r="F156" s="24"/>
    </row>
    <row r="157" spans="2:6" ht="26.25" customHeight="1" thickBot="1">
      <c r="B157" s="324"/>
      <c r="C157" s="326"/>
      <c r="D157" s="231">
        <f>SUM(D155:D156)</f>
        <v>2219122</v>
      </c>
      <c r="E157" s="204">
        <f>SUM(E155:E156)</f>
        <v>3650889</v>
      </c>
      <c r="F157" s="24"/>
    </row>
    <row r="158" ht="15" customHeight="1" thickTop="1"/>
    <row r="159" ht="15" customHeight="1">
      <c r="E159" s="198" t="s">
        <v>67</v>
      </c>
    </row>
    <row r="160" ht="15" customHeight="1">
      <c r="E160" s="198" t="s">
        <v>67</v>
      </c>
    </row>
    <row r="161" ht="15" customHeight="1">
      <c r="E161" s="198" t="s">
        <v>67</v>
      </c>
    </row>
  </sheetData>
  <sheetProtection/>
  <mergeCells count="35">
    <mergeCell ref="C24:D24"/>
    <mergeCell ref="E22:F22"/>
    <mergeCell ref="E23:F23"/>
    <mergeCell ref="E24:F24"/>
    <mergeCell ref="C23:D23"/>
    <mergeCell ref="C22:D22"/>
    <mergeCell ref="B1:F1"/>
    <mergeCell ref="B2:F2"/>
    <mergeCell ref="C3:F3"/>
    <mergeCell ref="B4:B5"/>
    <mergeCell ref="C21:D21"/>
    <mergeCell ref="E21:F21"/>
    <mergeCell ref="C20:D20"/>
    <mergeCell ref="E20:F20"/>
    <mergeCell ref="C19:F19"/>
    <mergeCell ref="B20:B21"/>
    <mergeCell ref="C26:D26"/>
    <mergeCell ref="B37:F37"/>
    <mergeCell ref="B39:F39"/>
    <mergeCell ref="D46:E46"/>
    <mergeCell ref="E26:F26"/>
    <mergeCell ref="B45:C45"/>
    <mergeCell ref="B44:E44"/>
    <mergeCell ref="B46:C47"/>
    <mergeCell ref="B41:F42"/>
    <mergeCell ref="D72:E72"/>
    <mergeCell ref="B72:C73"/>
    <mergeCell ref="B117:C118"/>
    <mergeCell ref="B136:C137"/>
    <mergeCell ref="D136:E136"/>
    <mergeCell ref="B112:F112"/>
    <mergeCell ref="B113:F113"/>
    <mergeCell ref="B114:F114"/>
    <mergeCell ref="D117:E117"/>
    <mergeCell ref="B135:F135"/>
  </mergeCells>
  <printOptions horizontalCentered="1"/>
  <pageMargins left="0.498031496" right="0.25" top="1.261811024" bottom="0.511811023622047" header="0.511811023622047" footer="0.236220472440945"/>
  <pageSetup fitToHeight="1" fitToWidth="1" horizontalDpi="600" verticalDpi="600" orientation="portrait" paperSize="9" scale="93" r:id="rId1"/>
  <headerFooter alignWithMargins="0">
    <oddFooter>&amp;C4</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L113"/>
  <sheetViews>
    <sheetView defaultGridColor="0" zoomScale="80" zoomScaleNormal="80" zoomScalePageLayoutView="0" colorId="22" workbookViewId="0" topLeftCell="A94">
      <selection activeCell="H59" sqref="H59"/>
    </sheetView>
  </sheetViews>
  <sheetFormatPr defaultColWidth="9.421875" defaultRowHeight="15" customHeight="1"/>
  <cols>
    <col min="1" max="1" width="2.421875" style="24" customWidth="1"/>
    <col min="2" max="2" width="66.7109375" style="24" customWidth="1"/>
    <col min="3" max="3" width="7.140625" style="24" customWidth="1"/>
    <col min="4" max="4" width="15.8515625" style="205" customWidth="1"/>
    <col min="5" max="5" width="16.140625" style="205" customWidth="1"/>
    <col min="6" max="6" width="10.57421875" style="24" customWidth="1"/>
    <col min="7" max="7" width="12.8515625" style="24" customWidth="1"/>
    <col min="8" max="8" width="11.8515625" style="24" customWidth="1"/>
    <col min="9" max="9" width="11.7109375" style="24" customWidth="1"/>
    <col min="10" max="16384" width="9.421875" style="24" customWidth="1"/>
  </cols>
  <sheetData>
    <row r="1" spans="2:6" ht="18.75" customHeight="1">
      <c r="B1" s="419" t="s">
        <v>73</v>
      </c>
      <c r="C1" s="419"/>
      <c r="D1" s="419"/>
      <c r="E1" s="419"/>
      <c r="F1" s="254"/>
    </row>
    <row r="2" spans="2:4" ht="15.75" customHeight="1">
      <c r="B2" s="440" t="s">
        <v>1672</v>
      </c>
      <c r="C2" s="440"/>
      <c r="D2" s="196"/>
    </row>
    <row r="3" spans="2:5" ht="15.75" customHeight="1">
      <c r="B3" s="430" t="s">
        <v>53</v>
      </c>
      <c r="C3" s="430"/>
      <c r="D3" s="475" t="s">
        <v>1685</v>
      </c>
      <c r="E3" s="476"/>
    </row>
    <row r="4" spans="2:5" ht="31.5" customHeight="1">
      <c r="B4" s="430"/>
      <c r="C4" s="430"/>
      <c r="D4" s="389" t="s">
        <v>1665</v>
      </c>
      <c r="E4" s="390" t="s">
        <v>1666</v>
      </c>
    </row>
    <row r="5" spans="2:5" ht="20.25" customHeight="1">
      <c r="B5" s="339" t="s">
        <v>280</v>
      </c>
      <c r="C5" s="343"/>
      <c r="D5" s="294"/>
      <c r="E5" s="281"/>
    </row>
    <row r="6" spans="2:5" ht="18.75" customHeight="1">
      <c r="B6" s="340" t="s">
        <v>206</v>
      </c>
      <c r="C6" s="188"/>
      <c r="D6" s="200"/>
      <c r="E6" s="282"/>
    </row>
    <row r="7" spans="2:5" ht="18.75" customHeight="1">
      <c r="B7" s="340" t="s">
        <v>85</v>
      </c>
      <c r="C7" s="188"/>
      <c r="D7" s="200"/>
      <c r="E7" s="282"/>
    </row>
    <row r="8" spans="2:5" ht="18.75" customHeight="1">
      <c r="B8" s="340" t="s">
        <v>200</v>
      </c>
      <c r="C8" s="188"/>
      <c r="D8" s="200"/>
      <c r="E8" s="282"/>
    </row>
    <row r="9" spans="2:5" ht="15" customHeight="1">
      <c r="B9" s="341" t="s">
        <v>86</v>
      </c>
      <c r="C9" s="188"/>
      <c r="D9" s="228" t="s">
        <v>67</v>
      </c>
      <c r="E9" s="282" t="s">
        <v>67</v>
      </c>
    </row>
    <row r="10" spans="2:5" ht="15" customHeight="1">
      <c r="B10" s="187" t="s">
        <v>87</v>
      </c>
      <c r="C10" s="188"/>
      <c r="D10" s="228">
        <v>20000</v>
      </c>
      <c r="E10" s="282">
        <v>20000</v>
      </c>
    </row>
    <row r="11" spans="2:5" ht="15" customHeight="1">
      <c r="B11" s="187" t="s">
        <v>265</v>
      </c>
      <c r="C11" s="188"/>
      <c r="D11" s="228">
        <v>100000</v>
      </c>
      <c r="E11" s="282">
        <v>100000</v>
      </c>
    </row>
    <row r="12" spans="2:5" ht="15" customHeight="1">
      <c r="B12" s="340" t="s">
        <v>204</v>
      </c>
      <c r="C12" s="188"/>
      <c r="D12" s="228"/>
      <c r="E12" s="282"/>
    </row>
    <row r="13" spans="2:5" ht="15" customHeight="1">
      <c r="B13" s="187" t="s">
        <v>88</v>
      </c>
      <c r="C13" s="188"/>
      <c r="D13" s="228">
        <v>1000</v>
      </c>
      <c r="E13" s="282">
        <v>1000</v>
      </c>
    </row>
    <row r="14" spans="2:5" ht="15" customHeight="1">
      <c r="B14" s="341" t="s">
        <v>89</v>
      </c>
      <c r="C14" s="188"/>
      <c r="D14" s="228">
        <v>62000</v>
      </c>
      <c r="E14" s="282">
        <v>62000</v>
      </c>
    </row>
    <row r="15" spans="2:5" ht="15" customHeight="1">
      <c r="B15" s="187" t="s">
        <v>90</v>
      </c>
      <c r="C15" s="188"/>
      <c r="D15" s="228">
        <v>1100</v>
      </c>
      <c r="E15" s="282">
        <v>1100</v>
      </c>
    </row>
    <row r="16" spans="2:5" ht="15" customHeight="1">
      <c r="B16" s="187" t="s">
        <v>91</v>
      </c>
      <c r="C16" s="188"/>
      <c r="D16" s="228">
        <v>15000</v>
      </c>
      <c r="E16" s="282">
        <v>15000</v>
      </c>
    </row>
    <row r="17" spans="2:5" ht="18" customHeight="1" thickBot="1">
      <c r="B17" s="342"/>
      <c r="C17" s="217"/>
      <c r="D17" s="231">
        <f>SUM(D9:D16)</f>
        <v>199100</v>
      </c>
      <c r="E17" s="204">
        <f>SUM(E9:E16)</f>
        <v>199100</v>
      </c>
    </row>
    <row r="18" spans="2:4" ht="18" customHeight="1" thickTop="1">
      <c r="B18" s="337"/>
      <c r="D18" s="198"/>
    </row>
    <row r="19" spans="2:5" ht="28.5" customHeight="1">
      <c r="B19" s="394" t="s">
        <v>1682</v>
      </c>
      <c r="C19" s="395"/>
      <c r="D19" s="396"/>
      <c r="E19" s="264"/>
    </row>
    <row r="20" spans="2:5" ht="18" customHeight="1">
      <c r="B20" s="397" t="s">
        <v>201</v>
      </c>
      <c r="C20" s="29"/>
      <c r="D20" s="285" t="s">
        <v>230</v>
      </c>
      <c r="E20" s="398" t="s">
        <v>230</v>
      </c>
    </row>
    <row r="21" spans="2:5" ht="18" customHeight="1">
      <c r="B21" s="399" t="s">
        <v>202</v>
      </c>
      <c r="C21" s="29"/>
      <c r="D21" s="207">
        <v>98</v>
      </c>
      <c r="E21" s="400">
        <v>98</v>
      </c>
    </row>
    <row r="22" spans="2:5" ht="18" customHeight="1">
      <c r="B22" s="401" t="s">
        <v>203</v>
      </c>
      <c r="C22" s="402"/>
      <c r="D22" s="403">
        <v>2</v>
      </c>
      <c r="E22" s="382">
        <v>2</v>
      </c>
    </row>
    <row r="23" spans="2:5" ht="18" customHeight="1">
      <c r="B23" s="337"/>
      <c r="D23" s="198"/>
      <c r="E23" s="287"/>
    </row>
    <row r="24" spans="2:5" ht="18" customHeight="1">
      <c r="B24" s="337"/>
      <c r="D24" s="198"/>
      <c r="E24" s="287"/>
    </row>
    <row r="25" spans="2:5" ht="22.5" customHeight="1">
      <c r="B25" s="467" t="s">
        <v>53</v>
      </c>
      <c r="C25" s="468"/>
      <c r="D25" s="471" t="s">
        <v>1685</v>
      </c>
      <c r="E25" s="472"/>
    </row>
    <row r="26" spans="2:5" ht="22.5" customHeight="1">
      <c r="B26" s="469"/>
      <c r="C26" s="470"/>
      <c r="D26" s="389" t="s">
        <v>820</v>
      </c>
      <c r="E26" s="390" t="s">
        <v>821</v>
      </c>
    </row>
    <row r="27" spans="2:5" ht="15" customHeight="1">
      <c r="B27" s="345" t="s">
        <v>112</v>
      </c>
      <c r="C27" s="343"/>
      <c r="D27" s="189"/>
      <c r="E27" s="189"/>
    </row>
    <row r="28" spans="2:5" ht="25.5" customHeight="1">
      <c r="B28" s="346" t="s">
        <v>279</v>
      </c>
      <c r="C28" s="188"/>
      <c r="D28" s="189"/>
      <c r="E28" s="189"/>
    </row>
    <row r="29" spans="2:5" ht="15">
      <c r="B29" s="318" t="s">
        <v>205</v>
      </c>
      <c r="C29" s="188"/>
      <c r="D29" s="200"/>
      <c r="E29" s="282"/>
    </row>
    <row r="30" spans="2:10" ht="15">
      <c r="B30" s="347" t="s">
        <v>250</v>
      </c>
      <c r="C30" s="188"/>
      <c r="D30" s="201">
        <f>Assets!D79+Assets!D89</f>
        <v>2374820.79</v>
      </c>
      <c r="E30" s="200">
        <f>Assets!E79+Assets!E89</f>
        <v>7634431.56</v>
      </c>
      <c r="I30" s="95"/>
      <c r="J30" s="95"/>
    </row>
    <row r="31" spans="2:5" ht="15">
      <c r="B31" s="348" t="s">
        <v>1696</v>
      </c>
      <c r="C31" s="188"/>
      <c r="D31" s="201">
        <f>Assets!D102</f>
        <v>30421198.36</v>
      </c>
      <c r="E31" s="200">
        <f>Assets!E102</f>
        <v>30421198.36</v>
      </c>
    </row>
    <row r="32" spans="2:5" ht="15">
      <c r="B32" s="348" t="s">
        <v>267</v>
      </c>
      <c r="C32" s="188"/>
      <c r="D32" s="201">
        <f>Assets!D99</f>
        <v>9770879.32</v>
      </c>
      <c r="E32" s="200">
        <f>Assets!E99</f>
        <v>9776869.08</v>
      </c>
    </row>
    <row r="33" spans="2:5" ht="15">
      <c r="B33" s="348" t="s">
        <v>268</v>
      </c>
      <c r="C33" s="188"/>
      <c r="D33" s="201">
        <f>Assets!D105</f>
        <v>45528040.6</v>
      </c>
      <c r="E33" s="200">
        <f>Assets!E105</f>
        <v>60321061.599999994</v>
      </c>
    </row>
    <row r="34" spans="2:5" ht="15" customHeight="1">
      <c r="B34" s="214" t="s">
        <v>1637</v>
      </c>
      <c r="C34" s="188"/>
      <c r="D34" s="201">
        <f>Assets!D125</f>
        <v>20890686.380000003</v>
      </c>
      <c r="E34" s="200">
        <f>Assets!E125-56</f>
        <v>20944065.57</v>
      </c>
    </row>
    <row r="35" spans="2:5" ht="15" customHeight="1">
      <c r="B35" s="349" t="s">
        <v>139</v>
      </c>
      <c r="C35" s="188"/>
      <c r="D35" s="201">
        <f>Assets!D128</f>
        <v>1475293.51</v>
      </c>
      <c r="E35" s="200">
        <f>Assets!E128</f>
        <v>11519320.61</v>
      </c>
    </row>
    <row r="36" spans="2:12" ht="15" customHeight="1">
      <c r="B36" s="184" t="s">
        <v>55</v>
      </c>
      <c r="C36" s="188"/>
      <c r="D36" s="201">
        <f>Assets!D130</f>
        <v>16531200</v>
      </c>
      <c r="E36" s="200">
        <f>Assets!E130</f>
        <v>16531200</v>
      </c>
      <c r="H36" s="37"/>
      <c r="L36" s="37"/>
    </row>
    <row r="37" spans="2:12" ht="15" customHeight="1">
      <c r="B37" s="184" t="s">
        <v>259</v>
      </c>
      <c r="C37" s="188"/>
      <c r="D37" s="201">
        <f>Assets!D138</f>
        <v>3096168</v>
      </c>
      <c r="E37" s="200">
        <f>Assets!E138</f>
        <v>2745921</v>
      </c>
      <c r="L37" s="37"/>
    </row>
    <row r="38" spans="2:5" ht="15" customHeight="1" thickBot="1">
      <c r="B38" s="350"/>
      <c r="C38" s="188"/>
      <c r="D38" s="231">
        <f>SUM(D30:D37)</f>
        <v>130088286.96</v>
      </c>
      <c r="E38" s="204">
        <f>SUM(E30:E37)</f>
        <v>159894067.77999997</v>
      </c>
    </row>
    <row r="39" spans="2:5" ht="15" customHeight="1" thickTop="1">
      <c r="B39" s="350"/>
      <c r="C39" s="188"/>
      <c r="D39" s="201"/>
      <c r="E39" s="200"/>
    </row>
    <row r="40" spans="2:5" ht="15" customHeight="1">
      <c r="B40" s="340" t="s">
        <v>281</v>
      </c>
      <c r="C40" s="188"/>
      <c r="D40" s="201"/>
      <c r="E40" s="200"/>
    </row>
    <row r="41" spans="2:5" ht="15" customHeight="1">
      <c r="B41" s="351" t="s">
        <v>239</v>
      </c>
      <c r="C41" s="188"/>
      <c r="D41" s="200" t="s">
        <v>67</v>
      </c>
      <c r="E41" s="200"/>
    </row>
    <row r="42" spans="2:5" ht="15" customHeight="1">
      <c r="B42" s="349" t="s">
        <v>140</v>
      </c>
      <c r="C42" s="188"/>
      <c r="D42" s="200"/>
      <c r="E42" s="200"/>
    </row>
    <row r="43" spans="2:5" ht="15" customHeight="1">
      <c r="B43" s="352" t="s">
        <v>231</v>
      </c>
      <c r="C43" s="188"/>
      <c r="D43" s="201">
        <v>0</v>
      </c>
      <c r="E43" s="200">
        <v>873146</v>
      </c>
    </row>
    <row r="44" spans="2:5" ht="15" customHeight="1" thickBot="1">
      <c r="B44" s="350"/>
      <c r="C44" s="188"/>
      <c r="D44" s="231">
        <f>SUM(D43:D43)</f>
        <v>0</v>
      </c>
      <c r="E44" s="204">
        <f>SUM(E43:E43)</f>
        <v>873146</v>
      </c>
    </row>
    <row r="45" spans="2:5" ht="15" customHeight="1" thickTop="1">
      <c r="B45" s="350"/>
      <c r="C45" s="188"/>
      <c r="D45" s="201"/>
      <c r="E45" s="200"/>
    </row>
    <row r="46" spans="2:5" ht="19.5" customHeight="1">
      <c r="B46" s="353" t="s">
        <v>113</v>
      </c>
      <c r="C46" s="188"/>
      <c r="D46" s="200"/>
      <c r="E46" s="200"/>
    </row>
    <row r="47" spans="2:5" ht="35.25" customHeight="1">
      <c r="B47" s="354" t="s">
        <v>282</v>
      </c>
      <c r="C47" s="188"/>
      <c r="D47" s="200" t="s">
        <v>67</v>
      </c>
      <c r="E47" s="200"/>
    </row>
    <row r="48" spans="2:5" ht="15" customHeight="1">
      <c r="B48" s="349" t="s">
        <v>44</v>
      </c>
      <c r="C48" s="188"/>
      <c r="D48" s="201">
        <f>Assets!D145</f>
        <v>10277870.96</v>
      </c>
      <c r="E48" s="200">
        <f>Assets!E145</f>
        <v>314530.48</v>
      </c>
    </row>
    <row r="49" spans="2:5" ht="15" customHeight="1">
      <c r="B49" s="349" t="s">
        <v>246</v>
      </c>
      <c r="C49" s="188"/>
      <c r="D49" s="201">
        <f>Assets!D148</f>
        <v>5053737.61</v>
      </c>
      <c r="E49" s="200">
        <f>Assets!E148</f>
        <v>3609070.69</v>
      </c>
    </row>
    <row r="50" spans="2:5" ht="15" customHeight="1">
      <c r="B50" s="349" t="s">
        <v>92</v>
      </c>
      <c r="C50" s="188"/>
      <c r="D50" s="201">
        <f>Assets!D151</f>
        <v>33957243.8</v>
      </c>
      <c r="E50" s="200">
        <f>Assets!E151</f>
        <v>26628598.5</v>
      </c>
    </row>
    <row r="51" spans="2:5" ht="15" customHeight="1">
      <c r="B51" s="349" t="s">
        <v>45</v>
      </c>
      <c r="C51" s="188"/>
      <c r="D51" s="201">
        <f>Assets!D154</f>
        <v>627534</v>
      </c>
      <c r="E51" s="200">
        <f>Assets!E154</f>
        <v>475716</v>
      </c>
    </row>
    <row r="52" spans="2:6" ht="15" customHeight="1">
      <c r="B52" s="349" t="s">
        <v>94</v>
      </c>
      <c r="C52" s="188"/>
      <c r="D52" s="201">
        <f>Assets!D156</f>
        <v>170037500</v>
      </c>
      <c r="E52" s="200">
        <f>Assets!E156</f>
        <v>101787500</v>
      </c>
      <c r="F52" s="38"/>
    </row>
    <row r="53" spans="2:7" ht="15.75" customHeight="1">
      <c r="B53" s="349" t="s">
        <v>93</v>
      </c>
      <c r="C53" s="188"/>
      <c r="D53" s="201">
        <f>Assets!D163</f>
        <v>3152111.37</v>
      </c>
      <c r="E53" s="200">
        <f>Assets!E163</f>
        <v>3547807.08</v>
      </c>
      <c r="G53" s="24" t="s">
        <v>67</v>
      </c>
    </row>
    <row r="54" spans="2:7" ht="15" customHeight="1" thickBot="1">
      <c r="B54" s="342"/>
      <c r="C54" s="355"/>
      <c r="D54" s="231">
        <f>SUM(D48:D53)</f>
        <v>223105997.74</v>
      </c>
      <c r="E54" s="204">
        <f>SUM(E48:E53)</f>
        <v>136363222.75</v>
      </c>
      <c r="G54" s="38" t="s">
        <v>67</v>
      </c>
    </row>
    <row r="55" spans="2:4" ht="15" customHeight="1" thickTop="1">
      <c r="B55" s="337"/>
      <c r="C55" s="30"/>
      <c r="D55" s="198" t="s">
        <v>67</v>
      </c>
    </row>
    <row r="56" spans="2:5" ht="20.25" customHeight="1">
      <c r="B56" s="417" t="s">
        <v>73</v>
      </c>
      <c r="C56" s="417"/>
      <c r="D56" s="417"/>
      <c r="E56" s="417"/>
    </row>
    <row r="57" spans="2:4" ht="18.75" customHeight="1">
      <c r="B57" s="440" t="s">
        <v>1672</v>
      </c>
      <c r="C57" s="440"/>
      <c r="D57" s="196"/>
    </row>
    <row r="58" spans="2:5" ht="16.5" customHeight="1">
      <c r="B58" s="430" t="s">
        <v>53</v>
      </c>
      <c r="C58" s="430"/>
      <c r="D58" s="465" t="s">
        <v>1685</v>
      </c>
      <c r="E58" s="466"/>
    </row>
    <row r="59" spans="2:5" ht="31.5" customHeight="1">
      <c r="B59" s="430"/>
      <c r="C59" s="430"/>
      <c r="D59" s="389" t="s">
        <v>1665</v>
      </c>
      <c r="E59" s="390" t="s">
        <v>1666</v>
      </c>
    </row>
    <row r="60" spans="2:5" ht="20.25" customHeight="1">
      <c r="B60" s="359" t="s">
        <v>283</v>
      </c>
      <c r="C60" s="343"/>
      <c r="D60" s="294" t="s">
        <v>67</v>
      </c>
      <c r="E60" s="294"/>
    </row>
    <row r="61" spans="2:5" ht="18" customHeight="1">
      <c r="B61" s="349" t="s">
        <v>140</v>
      </c>
      <c r="C61" s="188"/>
      <c r="D61" s="200"/>
      <c r="E61" s="200"/>
    </row>
    <row r="62" spans="2:5" ht="15">
      <c r="B62" s="360" t="s">
        <v>1680</v>
      </c>
      <c r="C62" s="188"/>
      <c r="D62" s="201">
        <f>Assets!D188</f>
        <v>4576816.72</v>
      </c>
      <c r="E62" s="200">
        <v>5647658</v>
      </c>
    </row>
    <row r="63" spans="2:7" ht="15" customHeight="1">
      <c r="B63" s="41" t="s">
        <v>46</v>
      </c>
      <c r="C63" s="188"/>
      <c r="D63" s="201">
        <f>Assets!D250</f>
        <v>9829731.809999999</v>
      </c>
      <c r="E63" s="200">
        <f>Assets!E250</f>
        <v>9922010.5</v>
      </c>
      <c r="G63" s="155"/>
    </row>
    <row r="64" spans="2:5" ht="15" customHeight="1" thickBot="1">
      <c r="B64" s="350"/>
      <c r="C64" s="188"/>
      <c r="D64" s="231">
        <f>SUM(D62:D63)</f>
        <v>14406548.529999997</v>
      </c>
      <c r="E64" s="204">
        <f>SUM(E62:E63)</f>
        <v>15569668.5</v>
      </c>
    </row>
    <row r="65" spans="2:5" ht="22.5" customHeight="1" thickTop="1">
      <c r="B65" s="182" t="s">
        <v>284</v>
      </c>
      <c r="C65" s="188"/>
      <c r="D65" s="201"/>
      <c r="E65" s="200"/>
    </row>
    <row r="66" spans="2:5" ht="22.5" customHeight="1">
      <c r="B66" s="349" t="s">
        <v>48</v>
      </c>
      <c r="C66" s="188"/>
      <c r="D66" s="201">
        <f>Assets!D262</f>
        <v>132740.58</v>
      </c>
      <c r="E66" s="200">
        <f>Assets!E262</f>
        <v>180713.47</v>
      </c>
    </row>
    <row r="67" spans="2:5" ht="15.75" customHeight="1">
      <c r="B67" s="349" t="s">
        <v>233</v>
      </c>
      <c r="C67" s="188"/>
      <c r="D67" s="201"/>
      <c r="E67" s="200"/>
    </row>
    <row r="68" spans="2:5" ht="15.75" customHeight="1">
      <c r="B68" s="349" t="s">
        <v>47</v>
      </c>
      <c r="C68" s="188"/>
      <c r="D68" s="201">
        <f>Assets!D280</f>
        <v>1890198.75</v>
      </c>
      <c r="E68" s="200">
        <f>Assets!E280</f>
        <v>173333.71000000002</v>
      </c>
    </row>
    <row r="69" spans="2:5" ht="15.75" customHeight="1">
      <c r="B69" s="349" t="s">
        <v>232</v>
      </c>
      <c r="C69" s="188"/>
      <c r="D69" s="201">
        <f>Assets!D284</f>
        <v>6039310</v>
      </c>
      <c r="E69" s="200">
        <f>Assets!E284</f>
        <v>5539310</v>
      </c>
    </row>
    <row r="70" spans="2:5" ht="14.25" customHeight="1">
      <c r="B70" s="349" t="s">
        <v>95</v>
      </c>
      <c r="C70" s="188"/>
      <c r="D70" s="201">
        <f>Assets!D287</f>
        <v>1329</v>
      </c>
      <c r="E70" s="200">
        <f>Assets!E287</f>
        <v>486</v>
      </c>
    </row>
    <row r="71" spans="2:5" ht="15" customHeight="1" thickBot="1">
      <c r="B71" s="350"/>
      <c r="C71" s="188"/>
      <c r="D71" s="231">
        <f>SUM(D66:D70)</f>
        <v>8063578.33</v>
      </c>
      <c r="E71" s="204">
        <f>SUM(E66:E70)</f>
        <v>5893843.18</v>
      </c>
    </row>
    <row r="72" spans="2:5" ht="24.75" customHeight="1" thickTop="1">
      <c r="B72" s="182" t="s">
        <v>285</v>
      </c>
      <c r="C72" s="188"/>
      <c r="D72" s="201" t="s">
        <v>67</v>
      </c>
      <c r="E72" s="200"/>
    </row>
    <row r="73" spans="2:5" ht="15" customHeight="1">
      <c r="B73" s="318" t="s">
        <v>205</v>
      </c>
      <c r="C73" s="188"/>
      <c r="D73" s="201" t="s">
        <v>67</v>
      </c>
      <c r="E73" s="200"/>
    </row>
    <row r="74" spans="2:7" ht="15">
      <c r="B74" s="348" t="s">
        <v>28</v>
      </c>
      <c r="C74" s="188"/>
      <c r="D74" s="201">
        <f>Assets!D357</f>
        <v>12135995.509999998</v>
      </c>
      <c r="E74" s="200">
        <f>Assets!E357</f>
        <v>7632243.279999999</v>
      </c>
      <c r="G74" s="155">
        <f>+D74-E74</f>
        <v>4503752.229999999</v>
      </c>
    </row>
    <row r="75" spans="2:5" ht="20.25" customHeight="1">
      <c r="B75" s="361" t="s">
        <v>141</v>
      </c>
      <c r="C75" s="335"/>
      <c r="D75" s="358">
        <f>Assets!D372</f>
        <v>3879314.3</v>
      </c>
      <c r="E75" s="200">
        <f>Assets!E372</f>
        <v>4182741.1399999997</v>
      </c>
    </row>
    <row r="76" spans="2:7" ht="15" customHeight="1">
      <c r="B76" s="348" t="s">
        <v>96</v>
      </c>
      <c r="C76" s="188"/>
      <c r="D76" s="201">
        <f>Assets!D376</f>
        <v>1241401</v>
      </c>
      <c r="E76" s="200">
        <f>Assets!E376</f>
        <v>1822457</v>
      </c>
      <c r="G76" s="24" t="s">
        <v>67</v>
      </c>
    </row>
    <row r="77" spans="2:5" ht="18.75" customHeight="1" thickBot="1">
      <c r="B77" s="350"/>
      <c r="C77" s="188"/>
      <c r="D77" s="231">
        <f>SUM(D74:D76)</f>
        <v>17256710.81</v>
      </c>
      <c r="E77" s="204">
        <f>SUM(E74:E76)</f>
        <v>13637441.419999998</v>
      </c>
    </row>
    <row r="78" spans="2:5" ht="23.25" customHeight="1" thickTop="1">
      <c r="B78" s="362" t="s">
        <v>286</v>
      </c>
      <c r="C78" s="188"/>
      <c r="D78" s="201"/>
      <c r="E78" s="200"/>
    </row>
    <row r="79" spans="2:5" ht="16.5" customHeight="1">
      <c r="B79" s="184" t="s">
        <v>142</v>
      </c>
      <c r="C79" s="188"/>
      <c r="D79" s="201">
        <f>Assets!D380</f>
        <v>480437</v>
      </c>
      <c r="E79" s="200">
        <f>Assets!E380</f>
        <v>581399</v>
      </c>
    </row>
    <row r="80" spans="2:5" ht="16.5" customHeight="1">
      <c r="B80" s="349" t="s">
        <v>266</v>
      </c>
      <c r="C80" s="188"/>
      <c r="D80" s="201">
        <f>Assets!D383</f>
        <v>0</v>
      </c>
      <c r="E80" s="200">
        <f>Assets!E383</f>
        <v>1495860</v>
      </c>
    </row>
    <row r="81" spans="2:5" ht="16.5" customHeight="1" thickBot="1">
      <c r="B81" s="342"/>
      <c r="C81" s="217"/>
      <c r="D81" s="231">
        <f>SUM(D79:D80)</f>
        <v>480437</v>
      </c>
      <c r="E81" s="204">
        <f>SUM(E79:E80)</f>
        <v>2077259</v>
      </c>
    </row>
    <row r="82" spans="2:5" ht="16.5" customHeight="1" thickTop="1">
      <c r="B82" s="350"/>
      <c r="C82" s="188"/>
      <c r="D82" s="226"/>
      <c r="E82" s="294"/>
    </row>
    <row r="83" spans="2:5" ht="21.75" customHeight="1">
      <c r="B83" s="359" t="s">
        <v>287</v>
      </c>
      <c r="C83" s="343"/>
      <c r="D83" s="262"/>
      <c r="E83" s="294"/>
    </row>
    <row r="84" spans="2:5" ht="15" customHeight="1">
      <c r="B84" s="363" t="s">
        <v>36</v>
      </c>
      <c r="C84" s="188"/>
      <c r="D84" s="282"/>
      <c r="E84" s="200"/>
    </row>
    <row r="85" spans="2:5" ht="16.5" customHeight="1">
      <c r="B85" s="363" t="s">
        <v>57</v>
      </c>
      <c r="C85" s="188"/>
      <c r="D85" s="228">
        <v>119228906.33</v>
      </c>
      <c r="E85" s="282">
        <f>156299885.73+3656</f>
        <v>156303541.73</v>
      </c>
    </row>
    <row r="86" spans="2:5" ht="16.5" customHeight="1">
      <c r="B86" s="363" t="s">
        <v>58</v>
      </c>
      <c r="C86" s="188"/>
      <c r="D86" s="228">
        <f>9381958.5+725720.4</f>
        <v>10107678.9</v>
      </c>
      <c r="E86" s="282">
        <f>4549739+526550.29</f>
        <v>5076289.29</v>
      </c>
    </row>
    <row r="87" spans="2:5" ht="16.5" customHeight="1">
      <c r="B87" s="363" t="s">
        <v>234</v>
      </c>
      <c r="C87" s="188"/>
      <c r="D87" s="228">
        <v>33217005</v>
      </c>
      <c r="E87" s="282">
        <v>11673973</v>
      </c>
    </row>
    <row r="88" spans="2:6" ht="15" customHeight="1" thickBot="1">
      <c r="B88" s="350"/>
      <c r="C88" s="188"/>
      <c r="D88" s="283">
        <f>SUM(D85:D87)</f>
        <v>162553590.23000002</v>
      </c>
      <c r="E88" s="284">
        <f>SUM(E85:E87)</f>
        <v>173053804.01999998</v>
      </c>
      <c r="F88" s="24" t="s">
        <v>67</v>
      </c>
    </row>
    <row r="89" spans="2:5" ht="22.5" customHeight="1" thickTop="1">
      <c r="B89" s="362" t="s">
        <v>288</v>
      </c>
      <c r="C89" s="188"/>
      <c r="D89" s="282" t="s">
        <v>67</v>
      </c>
      <c r="E89" s="200"/>
    </row>
    <row r="90" spans="2:7" ht="16.5" customHeight="1">
      <c r="B90" s="349" t="s">
        <v>97</v>
      </c>
      <c r="C90" s="188"/>
      <c r="D90" s="228">
        <v>729485</v>
      </c>
      <c r="E90" s="282">
        <v>864741</v>
      </c>
      <c r="G90" s="24" t="s">
        <v>67</v>
      </c>
    </row>
    <row r="91" spans="2:7" ht="16.5" customHeight="1">
      <c r="B91" s="349" t="s">
        <v>98</v>
      </c>
      <c r="C91" s="188"/>
      <c r="D91" s="228">
        <f>290787.91+10000</f>
        <v>300787.91</v>
      </c>
      <c r="E91" s="282">
        <f>11254672.1-10967500+9481.35</f>
        <v>296653.4499999996</v>
      </c>
      <c r="F91" s="24" t="s">
        <v>67</v>
      </c>
      <c r="G91" s="24" t="s">
        <v>67</v>
      </c>
    </row>
    <row r="92" spans="2:7" ht="16.5" customHeight="1">
      <c r="B92" s="363" t="s">
        <v>1705</v>
      </c>
      <c r="C92" s="188"/>
      <c r="D92" s="228">
        <v>-839437</v>
      </c>
      <c r="E92" s="282">
        <v>15732807.42</v>
      </c>
      <c r="G92" s="24" t="s">
        <v>67</v>
      </c>
    </row>
    <row r="93" spans="2:7" ht="16.5" customHeight="1">
      <c r="B93" s="363" t="s">
        <v>99</v>
      </c>
      <c r="C93" s="188"/>
      <c r="D93" s="228">
        <v>896430</v>
      </c>
      <c r="E93" s="282">
        <v>836000</v>
      </c>
      <c r="G93" s="24" t="s">
        <v>67</v>
      </c>
    </row>
    <row r="94" spans="2:7" ht="16.5" customHeight="1">
      <c r="B94" s="363" t="s">
        <v>100</v>
      </c>
      <c r="C94" s="188"/>
      <c r="D94" s="228">
        <v>-5989.76</v>
      </c>
      <c r="E94" s="282">
        <v>-6320</v>
      </c>
      <c r="G94" s="24" t="s">
        <v>67</v>
      </c>
    </row>
    <row r="95" spans="2:7" ht="25.5" customHeight="1" thickBot="1">
      <c r="B95" s="350"/>
      <c r="C95" s="188"/>
      <c r="D95" s="283">
        <f>SUM(D90:D94)</f>
        <v>1081276.15</v>
      </c>
      <c r="E95" s="284">
        <f>SUM(E90:E94)</f>
        <v>17723881.87</v>
      </c>
      <c r="G95" s="24" t="s">
        <v>67</v>
      </c>
    </row>
    <row r="96" spans="2:7" ht="21" customHeight="1" thickTop="1">
      <c r="B96" s="182" t="s">
        <v>289</v>
      </c>
      <c r="C96" s="188"/>
      <c r="D96" s="282" t="s">
        <v>67</v>
      </c>
      <c r="E96" s="200"/>
      <c r="G96" s="25" t="s">
        <v>67</v>
      </c>
    </row>
    <row r="97" spans="2:5" ht="19.5" customHeight="1">
      <c r="B97" s="349" t="s">
        <v>143</v>
      </c>
      <c r="C97" s="188"/>
      <c r="D97" s="228">
        <f>+E100</f>
        <v>314530.48</v>
      </c>
      <c r="E97" s="282">
        <v>2133019</v>
      </c>
    </row>
    <row r="98" spans="2:5" ht="15" customHeight="1">
      <c r="B98" s="349" t="s">
        <v>189</v>
      </c>
      <c r="C98" s="188"/>
      <c r="D98" s="391">
        <v>97141310</v>
      </c>
      <c r="E98" s="392">
        <v>104464983.12</v>
      </c>
    </row>
    <row r="99" spans="2:5" ht="15" customHeight="1">
      <c r="B99" s="349"/>
      <c r="C99" s="188"/>
      <c r="D99" s="228">
        <f>SUM(D97:D98)</f>
        <v>97455840.48</v>
      </c>
      <c r="E99" s="282">
        <f>SUM(E97:E98)</f>
        <v>106598002.12</v>
      </c>
    </row>
    <row r="100" spans="2:5" ht="15" customHeight="1">
      <c r="B100" s="349" t="s">
        <v>29</v>
      </c>
      <c r="C100" s="188"/>
      <c r="D100" s="228">
        <v>10277870.96</v>
      </c>
      <c r="E100" s="282">
        <v>314530.48</v>
      </c>
    </row>
    <row r="101" spans="2:5" ht="21.75" customHeight="1" thickBot="1">
      <c r="B101" s="350"/>
      <c r="C101" s="188"/>
      <c r="D101" s="283">
        <f>SUM(D99-D100)</f>
        <v>87177969.52000001</v>
      </c>
      <c r="E101" s="284">
        <f>SUM(E99-E100)</f>
        <v>106283471.64</v>
      </c>
    </row>
    <row r="102" spans="2:5" ht="24" customHeight="1" thickTop="1">
      <c r="B102" s="473" t="s">
        <v>290</v>
      </c>
      <c r="C102" s="474"/>
      <c r="D102" s="282"/>
      <c r="E102" s="200"/>
    </row>
    <row r="103" spans="2:5" ht="14.25" customHeight="1">
      <c r="B103" s="353" t="s">
        <v>59</v>
      </c>
      <c r="C103" s="188"/>
      <c r="D103" s="282"/>
      <c r="E103" s="200"/>
    </row>
    <row r="104" spans="2:5" ht="13.5" customHeight="1">
      <c r="B104" s="349" t="s">
        <v>60</v>
      </c>
      <c r="C104" s="188"/>
      <c r="D104" s="228">
        <f>+E109</f>
        <v>26628599</v>
      </c>
      <c r="E104" s="282">
        <v>14671603</v>
      </c>
    </row>
    <row r="105" spans="2:5" ht="14.25" customHeight="1">
      <c r="B105" s="349" t="s">
        <v>247</v>
      </c>
      <c r="C105" s="188"/>
      <c r="D105" s="228">
        <f>+E110</f>
        <v>3609071</v>
      </c>
      <c r="E105" s="282">
        <v>7557444</v>
      </c>
    </row>
    <row r="106" spans="2:5" ht="15" customHeight="1">
      <c r="B106" s="349" t="s">
        <v>61</v>
      </c>
      <c r="C106" s="188"/>
      <c r="D106" s="228">
        <f>+E111</f>
        <v>475716</v>
      </c>
      <c r="E106" s="282">
        <v>432142</v>
      </c>
    </row>
    <row r="107" spans="2:5" ht="19.5" customHeight="1" thickBot="1">
      <c r="B107" s="350" t="s">
        <v>144</v>
      </c>
      <c r="C107" s="188"/>
      <c r="D107" s="365">
        <f>SUM(D104:D106)</f>
        <v>30713386</v>
      </c>
      <c r="E107" s="366">
        <f>SUM(E104:E106)</f>
        <v>22661189</v>
      </c>
    </row>
    <row r="108" spans="2:5" ht="14.25" customHeight="1">
      <c r="B108" s="353" t="s">
        <v>62</v>
      </c>
      <c r="C108" s="188"/>
      <c r="D108" s="228"/>
      <c r="E108" s="282"/>
    </row>
    <row r="109" spans="2:5" ht="15" customHeight="1">
      <c r="B109" s="349" t="s">
        <v>60</v>
      </c>
      <c r="C109" s="188"/>
      <c r="D109" s="228">
        <v>33957243.8</v>
      </c>
      <c r="E109" s="282">
        <v>26628599</v>
      </c>
    </row>
    <row r="110" spans="2:5" ht="15" customHeight="1">
      <c r="B110" s="349" t="s">
        <v>247</v>
      </c>
      <c r="C110" s="188"/>
      <c r="D110" s="228">
        <v>5053737.61</v>
      </c>
      <c r="E110" s="282">
        <v>3609071</v>
      </c>
    </row>
    <row r="111" spans="2:7" ht="15" customHeight="1">
      <c r="B111" s="349" t="s">
        <v>61</v>
      </c>
      <c r="C111" s="188"/>
      <c r="D111" s="228">
        <v>627534</v>
      </c>
      <c r="E111" s="282">
        <v>475716</v>
      </c>
      <c r="F111" s="25">
        <f>E111-475222</f>
        <v>494</v>
      </c>
      <c r="G111" s="25">
        <f>578-F111</f>
        <v>84</v>
      </c>
    </row>
    <row r="112" spans="2:5" ht="18" customHeight="1" thickBot="1">
      <c r="B112" s="350" t="s">
        <v>145</v>
      </c>
      <c r="C112" s="188"/>
      <c r="D112" s="365">
        <f>SUM(D109:D111)</f>
        <v>39638515.41</v>
      </c>
      <c r="E112" s="366">
        <f>SUM(E109:E111)-1</f>
        <v>30713385</v>
      </c>
    </row>
    <row r="113" spans="2:5" ht="20.25" customHeight="1" thickBot="1">
      <c r="B113" s="364" t="s">
        <v>269</v>
      </c>
      <c r="C113" s="217"/>
      <c r="D113" s="367">
        <f>SUM(D107-D112)</f>
        <v>-8925129.409999996</v>
      </c>
      <c r="E113" s="368">
        <f>SUM(E107-E112)</f>
        <v>-8052196</v>
      </c>
    </row>
    <row r="114" ht="15" customHeight="1" thickTop="1"/>
  </sheetData>
  <sheetProtection/>
  <mergeCells count="11">
    <mergeCell ref="B1:E1"/>
    <mergeCell ref="B2:C2"/>
    <mergeCell ref="D3:E3"/>
    <mergeCell ref="B56:E56"/>
    <mergeCell ref="B57:C57"/>
    <mergeCell ref="D58:E58"/>
    <mergeCell ref="B25:C26"/>
    <mergeCell ref="B3:C4"/>
    <mergeCell ref="D25:E25"/>
    <mergeCell ref="B58:C59"/>
    <mergeCell ref="B102:C102"/>
  </mergeCells>
  <printOptions/>
  <pageMargins left="1.07" right="0.25" top="0.25" bottom="0.25" header="0.511805555555556" footer="0.25"/>
  <pageSetup firstPageNumber="15" useFirstPageNumber="1" fitToHeight="1" fitToWidth="1" horizontalDpi="300" verticalDpi="300" orientation="portrait" scale="75" r:id="rId1"/>
  <headerFooter alignWithMargins="0">
    <oddFooter>&amp;C6</oddFooter>
  </headerFooter>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1:P36"/>
  <sheetViews>
    <sheetView defaultGridColor="0" zoomScale="80" zoomScaleNormal="80" zoomScalePageLayoutView="0" colorId="22" workbookViewId="0" topLeftCell="A22">
      <selection activeCell="B34" sqref="B1:M34"/>
    </sheetView>
  </sheetViews>
  <sheetFormatPr defaultColWidth="9.140625" defaultRowHeight="12.75"/>
  <cols>
    <col min="1" max="1" width="3.140625" style="44" customWidth="1"/>
    <col min="2" max="2" width="30.7109375" style="44" customWidth="1"/>
    <col min="3" max="3" width="15.140625" style="380" customWidth="1"/>
    <col min="4" max="4" width="13.00390625" style="380" customWidth="1"/>
    <col min="5" max="5" width="14.421875" style="380" customWidth="1"/>
    <col min="6" max="6" width="14.140625" style="380" customWidth="1"/>
    <col min="7" max="7" width="13.8515625" style="380" customWidth="1"/>
    <col min="8" max="8" width="12.421875" style="380" customWidth="1"/>
    <col min="9" max="9" width="13.7109375" style="380" customWidth="1"/>
    <col min="10" max="10" width="16.57421875" style="380" customWidth="1"/>
    <col min="11" max="11" width="17.28125" style="380" customWidth="1"/>
    <col min="12" max="12" width="16.8515625" style="380" customWidth="1"/>
    <col min="13" max="13" width="14.28125" style="380" customWidth="1"/>
    <col min="14" max="14" width="25.57421875" style="44" customWidth="1"/>
    <col min="15" max="24" width="16.7109375" style="44" customWidth="1"/>
    <col min="25" max="16384" width="9.140625" style="44" customWidth="1"/>
  </cols>
  <sheetData>
    <row r="1" spans="2:13" ht="31.5" customHeight="1">
      <c r="B1" s="484" t="s">
        <v>73</v>
      </c>
      <c r="C1" s="484"/>
      <c r="D1" s="484"/>
      <c r="E1" s="484"/>
      <c r="F1" s="484"/>
      <c r="G1" s="484"/>
      <c r="H1" s="484"/>
      <c r="I1" s="484"/>
      <c r="J1" s="484"/>
      <c r="K1" s="484"/>
      <c r="L1" s="484"/>
      <c r="M1" s="484"/>
    </row>
    <row r="2" spans="2:13" ht="15" customHeight="1">
      <c r="B2" s="485" t="s">
        <v>49</v>
      </c>
      <c r="C2" s="485"/>
      <c r="D2" s="485"/>
      <c r="E2" s="485"/>
      <c r="F2" s="485"/>
      <c r="G2" s="485"/>
      <c r="H2" s="485"/>
      <c r="I2" s="485"/>
      <c r="J2" s="485"/>
      <c r="K2" s="485"/>
      <c r="L2" s="485"/>
      <c r="M2" s="485"/>
    </row>
    <row r="3" spans="2:13" ht="15">
      <c r="B3" s="477" t="s">
        <v>278</v>
      </c>
      <c r="C3" s="477"/>
      <c r="D3" s="477"/>
      <c r="E3" s="477"/>
      <c r="F3" s="477"/>
      <c r="G3" s="477"/>
      <c r="H3" s="477"/>
      <c r="I3" s="477"/>
      <c r="J3" s="477"/>
      <c r="K3" s="477"/>
      <c r="L3" s="478" t="s">
        <v>68</v>
      </c>
      <c r="M3" s="479"/>
    </row>
    <row r="4" spans="2:13" ht="15">
      <c r="B4" s="477"/>
      <c r="C4" s="477"/>
      <c r="D4" s="477"/>
      <c r="E4" s="477"/>
      <c r="F4" s="477"/>
      <c r="G4" s="477"/>
      <c r="H4" s="477"/>
      <c r="I4" s="477"/>
      <c r="J4" s="477"/>
      <c r="K4" s="477"/>
      <c r="L4" s="480"/>
      <c r="M4" s="481"/>
    </row>
    <row r="5" spans="2:13" ht="21" customHeight="1">
      <c r="B5" s="7"/>
      <c r="C5" s="486" t="s">
        <v>50</v>
      </c>
      <c r="D5" s="486"/>
      <c r="E5" s="486"/>
      <c r="F5" s="486"/>
      <c r="G5" s="486" t="s">
        <v>51</v>
      </c>
      <c r="H5" s="486"/>
      <c r="I5" s="486"/>
      <c r="J5" s="486"/>
      <c r="K5" s="486"/>
      <c r="L5" s="486" t="s">
        <v>52</v>
      </c>
      <c r="M5" s="486"/>
    </row>
    <row r="6" spans="2:13" ht="60">
      <c r="B6" s="8" t="s">
        <v>53</v>
      </c>
      <c r="C6" s="373" t="s">
        <v>294</v>
      </c>
      <c r="D6" s="373" t="s">
        <v>135</v>
      </c>
      <c r="E6" s="373" t="s">
        <v>134</v>
      </c>
      <c r="F6" s="373" t="s">
        <v>292</v>
      </c>
      <c r="G6" s="373" t="s">
        <v>1659</v>
      </c>
      <c r="H6" s="373" t="s">
        <v>136</v>
      </c>
      <c r="I6" s="373" t="s">
        <v>137</v>
      </c>
      <c r="J6" s="373" t="s">
        <v>1679</v>
      </c>
      <c r="K6" s="373" t="s">
        <v>1660</v>
      </c>
      <c r="L6" s="373" t="s">
        <v>292</v>
      </c>
      <c r="M6" s="373" t="s">
        <v>262</v>
      </c>
    </row>
    <row r="7" spans="2:13" ht="15">
      <c r="B7" s="371" t="s">
        <v>1697</v>
      </c>
      <c r="C7" s="374"/>
      <c r="D7" s="374"/>
      <c r="E7" s="374"/>
      <c r="F7" s="374"/>
      <c r="G7" s="374"/>
      <c r="H7" s="374"/>
      <c r="I7" s="374"/>
      <c r="J7" s="374"/>
      <c r="K7" s="374"/>
      <c r="L7" s="374"/>
      <c r="M7" s="374"/>
    </row>
    <row r="8" spans="2:13" ht="15">
      <c r="B8" s="10"/>
      <c r="C8" s="375"/>
      <c r="D8" s="375"/>
      <c r="E8" s="375"/>
      <c r="F8" s="375"/>
      <c r="G8" s="375"/>
      <c r="H8" s="375"/>
      <c r="I8" s="375"/>
      <c r="J8" s="375"/>
      <c r="K8" s="375"/>
      <c r="L8" s="375"/>
      <c r="M8" s="375"/>
    </row>
    <row r="9" spans="2:13" ht="15">
      <c r="B9" s="10" t="s">
        <v>80</v>
      </c>
      <c r="C9" s="375">
        <v>498556</v>
      </c>
      <c r="D9" s="375">
        <v>0</v>
      </c>
      <c r="E9" s="375">
        <v>7995</v>
      </c>
      <c r="F9" s="376">
        <f>+C9+D9-E9</f>
        <v>490561</v>
      </c>
      <c r="G9" s="375">
        <f>+'[1]CONS'!AC8/100000</f>
        <v>0</v>
      </c>
      <c r="H9" s="375">
        <v>0</v>
      </c>
      <c r="I9" s="375">
        <v>0</v>
      </c>
      <c r="J9" s="375">
        <v>0</v>
      </c>
      <c r="K9" s="376">
        <f>G9+H9-I9+J9</f>
        <v>0</v>
      </c>
      <c r="L9" s="376">
        <f>+F9-K9</f>
        <v>490561</v>
      </c>
      <c r="M9" s="375">
        <f>+C9-G9</f>
        <v>498556</v>
      </c>
    </row>
    <row r="10" spans="2:13" ht="15">
      <c r="B10" s="10" t="s">
        <v>81</v>
      </c>
      <c r="C10" s="375">
        <v>30866293</v>
      </c>
      <c r="D10" s="375">
        <v>0</v>
      </c>
      <c r="E10" s="375">
        <v>3251600</v>
      </c>
      <c r="F10" s="376">
        <f>+C10+D10-E10</f>
        <v>27614693</v>
      </c>
      <c r="G10" s="375">
        <v>0</v>
      </c>
      <c r="H10" s="375">
        <v>0</v>
      </c>
      <c r="I10" s="375">
        <v>0</v>
      </c>
      <c r="J10" s="375">
        <v>0</v>
      </c>
      <c r="K10" s="376">
        <f>G10+H10-I10+J10</f>
        <v>0</v>
      </c>
      <c r="L10" s="376">
        <f>+F10-K10</f>
        <v>27614693</v>
      </c>
      <c r="M10" s="375">
        <f>+C10-G10</f>
        <v>30866293</v>
      </c>
    </row>
    <row r="11" spans="2:13" ht="15">
      <c r="B11" s="10"/>
      <c r="C11" s="375"/>
      <c r="D11" s="375"/>
      <c r="E11" s="375"/>
      <c r="F11" s="376" t="s">
        <v>67</v>
      </c>
      <c r="G11" s="375"/>
      <c r="H11" s="375"/>
      <c r="I11" s="375"/>
      <c r="J11" s="375"/>
      <c r="K11" s="376"/>
      <c r="L11" s="376"/>
      <c r="M11" s="375"/>
    </row>
    <row r="12" spans="2:13" ht="15">
      <c r="B12" s="10" t="s">
        <v>82</v>
      </c>
      <c r="C12" s="375">
        <v>63572482</v>
      </c>
      <c r="D12" s="375">
        <v>434968</v>
      </c>
      <c r="E12" s="375">
        <v>0</v>
      </c>
      <c r="F12" s="376">
        <f>+C12+D12-E12</f>
        <v>64007450</v>
      </c>
      <c r="G12" s="375">
        <v>50618498</v>
      </c>
      <c r="H12" s="375">
        <v>2648003</v>
      </c>
      <c r="I12" s="375">
        <v>0</v>
      </c>
      <c r="J12" s="375">
        <v>1023669</v>
      </c>
      <c r="K12" s="376">
        <f>G12+H12-I12+J12</f>
        <v>54290170</v>
      </c>
      <c r="L12" s="376">
        <f>+F12-K12</f>
        <v>9717280</v>
      </c>
      <c r="M12" s="375">
        <f>+C12-G12</f>
        <v>12953984</v>
      </c>
    </row>
    <row r="13" spans="2:13" ht="15">
      <c r="B13" s="10" t="s">
        <v>83</v>
      </c>
      <c r="C13" s="375">
        <v>66898442</v>
      </c>
      <c r="D13" s="375">
        <v>0</v>
      </c>
      <c r="E13" s="375">
        <v>0</v>
      </c>
      <c r="F13" s="376">
        <f>+C13+D13-E13</f>
        <v>66898442</v>
      </c>
      <c r="G13" s="375">
        <v>46158334</v>
      </c>
      <c r="H13" s="375">
        <v>1083021</v>
      </c>
      <c r="I13" s="375">
        <v>0</v>
      </c>
      <c r="J13" s="375">
        <v>11512688</v>
      </c>
      <c r="K13" s="376">
        <f>G13+H13-I13+J13</f>
        <v>58754043</v>
      </c>
      <c r="L13" s="376">
        <f>+F13-K13</f>
        <v>8144399</v>
      </c>
      <c r="M13" s="375">
        <f>+C13-G13</f>
        <v>20740108</v>
      </c>
    </row>
    <row r="14" spans="2:13" ht="15">
      <c r="B14" s="10"/>
      <c r="C14" s="375"/>
      <c r="D14" s="375"/>
      <c r="E14" s="375"/>
      <c r="F14" s="376" t="s">
        <v>67</v>
      </c>
      <c r="G14" s="375" t="s">
        <v>67</v>
      </c>
      <c r="H14" s="375"/>
      <c r="I14" s="375"/>
      <c r="J14" s="375"/>
      <c r="K14" s="376"/>
      <c r="L14" s="376"/>
      <c r="M14" s="375"/>
    </row>
    <row r="15" spans="2:16" ht="15">
      <c r="B15" s="10" t="s">
        <v>84</v>
      </c>
      <c r="C15" s="375">
        <v>284018234</v>
      </c>
      <c r="D15" s="375">
        <f>12553546.11</f>
        <v>12553546.11</v>
      </c>
      <c r="E15" s="375">
        <f>42024101.33+2133223.32+530877</f>
        <v>44688201.65</v>
      </c>
      <c r="F15" s="376">
        <f>+C15+D15-E15</f>
        <v>251883578.46</v>
      </c>
      <c r="G15" s="375">
        <v>231462419</v>
      </c>
      <c r="H15" s="375">
        <v>3010564</v>
      </c>
      <c r="I15" s="375">
        <f>528693+37909576.14+1785619.65</f>
        <v>40223888.79</v>
      </c>
      <c r="J15" s="375">
        <v>5392374</v>
      </c>
      <c r="K15" s="376">
        <f>G15+H15-I15+J15</f>
        <v>199641468.21</v>
      </c>
      <c r="L15" s="376">
        <f>+F15-K15</f>
        <v>52242110.25</v>
      </c>
      <c r="M15" s="375">
        <f>+C15-G15</f>
        <v>52555815</v>
      </c>
      <c r="N15" s="3" t="s">
        <v>67</v>
      </c>
      <c r="P15" s="3"/>
    </row>
    <row r="16" spans="2:13" ht="15">
      <c r="B16" s="10" t="s">
        <v>83</v>
      </c>
      <c r="C16" s="375">
        <v>45077438</v>
      </c>
      <c r="D16" s="375">
        <v>0</v>
      </c>
      <c r="E16" s="375">
        <v>0</v>
      </c>
      <c r="F16" s="376">
        <f>+C16+D16-E16</f>
        <v>45077438</v>
      </c>
      <c r="G16" s="375">
        <v>27108552</v>
      </c>
      <c r="H16" s="375">
        <v>2776466</v>
      </c>
      <c r="I16" s="375">
        <v>0</v>
      </c>
      <c r="J16" s="375">
        <v>12430710</v>
      </c>
      <c r="K16" s="376">
        <f>G16+H16-I16+J16</f>
        <v>42315728</v>
      </c>
      <c r="L16" s="376">
        <f>+F16-K16</f>
        <v>2761710</v>
      </c>
      <c r="M16" s="375">
        <f>+C16-G16</f>
        <v>17968886</v>
      </c>
    </row>
    <row r="17" spans="2:13" ht="15">
      <c r="B17" s="10"/>
      <c r="C17" s="375"/>
      <c r="D17" s="375"/>
      <c r="E17" s="375"/>
      <c r="F17" s="376"/>
      <c r="G17" s="375"/>
      <c r="H17" s="375"/>
      <c r="I17" s="375"/>
      <c r="J17" s="375"/>
      <c r="K17" s="376"/>
      <c r="L17" s="376" t="s">
        <v>67</v>
      </c>
      <c r="M17" s="375"/>
    </row>
    <row r="18" spans="2:16" ht="15">
      <c r="B18" s="10" t="s">
        <v>109</v>
      </c>
      <c r="C18" s="375">
        <v>2618440</v>
      </c>
      <c r="D18" s="375">
        <v>0</v>
      </c>
      <c r="E18" s="375">
        <v>0</v>
      </c>
      <c r="F18" s="376">
        <f>+C18+D18-E18</f>
        <v>2618440</v>
      </c>
      <c r="G18" s="375">
        <v>2490421</v>
      </c>
      <c r="H18" s="375">
        <v>7611</v>
      </c>
      <c r="I18" s="375">
        <v>0</v>
      </c>
      <c r="J18" s="375">
        <v>45486</v>
      </c>
      <c r="K18" s="376">
        <f>G18+H18-I18+J18</f>
        <v>2543518</v>
      </c>
      <c r="L18" s="376">
        <f>+F18-K18</f>
        <v>74922</v>
      </c>
      <c r="M18" s="375">
        <f>+C18-G18</f>
        <v>128019</v>
      </c>
      <c r="N18" s="3"/>
      <c r="P18" s="3"/>
    </row>
    <row r="19" spans="2:16" ht="15">
      <c r="B19" s="10"/>
      <c r="C19" s="375"/>
      <c r="D19" s="375"/>
      <c r="E19" s="375"/>
      <c r="F19" s="376"/>
      <c r="G19" s="375"/>
      <c r="H19" s="375"/>
      <c r="I19" s="375"/>
      <c r="J19" s="375"/>
      <c r="K19" s="376"/>
      <c r="L19" s="376"/>
      <c r="M19" s="375"/>
      <c r="N19" s="3"/>
      <c r="P19" s="3"/>
    </row>
    <row r="20" spans="2:16" ht="15">
      <c r="B20" s="10" t="s">
        <v>110</v>
      </c>
      <c r="C20" s="375">
        <v>1686434</v>
      </c>
      <c r="D20" s="375">
        <v>0</v>
      </c>
      <c r="E20" s="375">
        <v>0</v>
      </c>
      <c r="F20" s="376">
        <f>+C20+D20-E20</f>
        <v>1686434</v>
      </c>
      <c r="G20" s="375">
        <v>1464025</v>
      </c>
      <c r="H20" s="375">
        <v>105499</v>
      </c>
      <c r="I20" s="375">
        <v>0</v>
      </c>
      <c r="J20" s="375">
        <v>60680</v>
      </c>
      <c r="K20" s="376">
        <f>G20+H20-I20+J20</f>
        <v>1630204</v>
      </c>
      <c r="L20" s="376">
        <f>+F20-K20</f>
        <v>56230</v>
      </c>
      <c r="M20" s="375">
        <f>+C20-G20</f>
        <v>222409</v>
      </c>
      <c r="N20" s="3"/>
      <c r="P20" s="3"/>
    </row>
    <row r="21" spans="2:16" ht="15">
      <c r="B21" s="10"/>
      <c r="C21" s="375"/>
      <c r="D21" s="375"/>
      <c r="E21" s="375"/>
      <c r="F21" s="376"/>
      <c r="G21" s="375"/>
      <c r="H21" s="375"/>
      <c r="I21" s="375"/>
      <c r="J21" s="375"/>
      <c r="K21" s="376"/>
      <c r="L21" s="376"/>
      <c r="M21" s="375"/>
      <c r="N21" s="3"/>
      <c r="P21" s="3"/>
    </row>
    <row r="22" spans="2:16" ht="15">
      <c r="B22" s="10" t="s">
        <v>111</v>
      </c>
      <c r="C22" s="375">
        <v>1214903</v>
      </c>
      <c r="D22" s="375">
        <v>0</v>
      </c>
      <c r="E22" s="375">
        <v>0</v>
      </c>
      <c r="F22" s="376">
        <f>+C22+D22-E22</f>
        <v>1214903</v>
      </c>
      <c r="G22" s="375">
        <v>1185306</v>
      </c>
      <c r="H22" s="375">
        <v>8746</v>
      </c>
      <c r="I22" s="375">
        <v>0</v>
      </c>
      <c r="J22" s="375">
        <v>0</v>
      </c>
      <c r="K22" s="376">
        <f>G22+H22-I22+J22</f>
        <v>1194052</v>
      </c>
      <c r="L22" s="376">
        <f>+F22-K22</f>
        <v>20851</v>
      </c>
      <c r="M22" s="375">
        <f>+C22-G22</f>
        <v>29597</v>
      </c>
      <c r="N22" s="3"/>
      <c r="P22" s="3"/>
    </row>
    <row r="23" spans="2:13" ht="15">
      <c r="B23" s="10"/>
      <c r="C23" s="375"/>
      <c r="D23" s="375"/>
      <c r="E23" s="375"/>
      <c r="F23" s="376" t="s">
        <v>67</v>
      </c>
      <c r="G23" s="375"/>
      <c r="H23" s="375"/>
      <c r="I23" s="375"/>
      <c r="J23" s="375"/>
      <c r="K23" s="376"/>
      <c r="L23" s="376"/>
      <c r="M23" s="375"/>
    </row>
    <row r="24" spans="2:13" ht="15">
      <c r="B24" s="10" t="s">
        <v>138</v>
      </c>
      <c r="C24" s="375">
        <v>15423931</v>
      </c>
      <c r="D24" s="375">
        <v>0</v>
      </c>
      <c r="E24" s="375">
        <v>428473.05</v>
      </c>
      <c r="F24" s="376">
        <f>+C24+D24-E24</f>
        <v>14995457.95</v>
      </c>
      <c r="G24" s="375">
        <v>8073234</v>
      </c>
      <c r="H24" s="375">
        <v>2698727</v>
      </c>
      <c r="I24" s="375">
        <v>427199.06</v>
      </c>
      <c r="J24" s="375">
        <v>157400</v>
      </c>
      <c r="K24" s="376">
        <f>G24+H24-I24+J24</f>
        <v>10502161.94</v>
      </c>
      <c r="L24" s="376">
        <f>+F24-K24</f>
        <v>4493296.01</v>
      </c>
      <c r="M24" s="375">
        <f>+C24-G24</f>
        <v>7350697</v>
      </c>
    </row>
    <row r="25" spans="2:13" ht="15">
      <c r="B25" s="10"/>
      <c r="C25" s="375"/>
      <c r="D25" s="375"/>
      <c r="E25" s="375"/>
      <c r="F25" s="376"/>
      <c r="G25" s="375"/>
      <c r="H25" s="375"/>
      <c r="I25" s="375"/>
      <c r="J25" s="375"/>
      <c r="K25" s="376"/>
      <c r="L25" s="376"/>
      <c r="M25" s="375"/>
    </row>
    <row r="26" spans="2:13" ht="15">
      <c r="B26" s="10" t="s">
        <v>188</v>
      </c>
      <c r="C26" s="375">
        <v>1921</v>
      </c>
      <c r="D26" s="375">
        <v>0</v>
      </c>
      <c r="E26" s="375">
        <v>0</v>
      </c>
      <c r="F26" s="376">
        <f>+C26+D26-E26</f>
        <v>1921</v>
      </c>
      <c r="G26" s="375">
        <v>1910</v>
      </c>
      <c r="H26" s="375">
        <v>0</v>
      </c>
      <c r="I26" s="375">
        <v>0</v>
      </c>
      <c r="J26" s="375">
        <v>0</v>
      </c>
      <c r="K26" s="376">
        <f>G26+H26-I26+J26</f>
        <v>1910</v>
      </c>
      <c r="L26" s="376">
        <f>+F26-K26</f>
        <v>11</v>
      </c>
      <c r="M26" s="375">
        <f>+C26-G26</f>
        <v>11</v>
      </c>
    </row>
    <row r="27" spans="2:15" ht="15.75" thickBot="1">
      <c r="B27" s="372" t="s">
        <v>114</v>
      </c>
      <c r="C27" s="377">
        <f>SUM(C9:C26)</f>
        <v>511877074</v>
      </c>
      <c r="D27" s="377">
        <f>SUM(D9:D26)</f>
        <v>12988514.11</v>
      </c>
      <c r="E27" s="377">
        <f>SUM(E9:E26)</f>
        <v>48376269.699999996</v>
      </c>
      <c r="F27" s="377">
        <f>+C27+D27-E27</f>
        <v>476489318.41</v>
      </c>
      <c r="G27" s="377">
        <f>SUM(G9:G26)</f>
        <v>368562699</v>
      </c>
      <c r="H27" s="377">
        <f>SUM(H9:H26)</f>
        <v>12338637</v>
      </c>
      <c r="I27" s="377">
        <f>SUM(I9:I26)</f>
        <v>40651087.85</v>
      </c>
      <c r="J27" s="377">
        <f>SUM(J9:J26)</f>
        <v>30623007</v>
      </c>
      <c r="K27" s="377">
        <f>G27+H27-I27+J27</f>
        <v>370873255.15</v>
      </c>
      <c r="L27" s="377">
        <f>+F27-K27</f>
        <v>105616063.26000005</v>
      </c>
      <c r="M27" s="378">
        <f>SUM(M9:M26)</f>
        <v>143314375</v>
      </c>
      <c r="O27" s="3">
        <f>139498665-L27</f>
        <v>33882601.73999995</v>
      </c>
    </row>
    <row r="28" spans="2:15" ht="24" customHeight="1" thickTop="1">
      <c r="B28" s="371" t="s">
        <v>1698</v>
      </c>
      <c r="C28" s="376"/>
      <c r="D28" s="376"/>
      <c r="E28" s="376"/>
      <c r="F28" s="376"/>
      <c r="G28" s="376"/>
      <c r="H28" s="376"/>
      <c r="I28" s="376"/>
      <c r="J28" s="376"/>
      <c r="K28" s="376"/>
      <c r="L28" s="376"/>
      <c r="M28" s="375"/>
      <c r="O28" s="3"/>
    </row>
    <row r="29" spans="2:15" ht="17.25" customHeight="1">
      <c r="B29" s="371"/>
      <c r="C29" s="376"/>
      <c r="D29" s="376"/>
      <c r="E29" s="376"/>
      <c r="F29" s="376"/>
      <c r="G29" s="376"/>
      <c r="H29" s="376"/>
      <c r="I29" s="376"/>
      <c r="J29" s="376"/>
      <c r="K29" s="376"/>
      <c r="L29" s="376"/>
      <c r="M29" s="375"/>
      <c r="O29" s="3"/>
    </row>
    <row r="30" spans="2:15" ht="15">
      <c r="B30" s="407" t="s">
        <v>1699</v>
      </c>
      <c r="C30" s="376">
        <v>1901951</v>
      </c>
      <c r="D30" s="375">
        <v>0</v>
      </c>
      <c r="E30" s="375">
        <v>0</v>
      </c>
      <c r="F30" s="376">
        <v>1901951</v>
      </c>
      <c r="G30" s="376">
        <v>1901951</v>
      </c>
      <c r="H30" s="375">
        <v>0</v>
      </c>
      <c r="I30" s="375">
        <v>0</v>
      </c>
      <c r="J30" s="375">
        <v>0</v>
      </c>
      <c r="K30" s="376">
        <v>1901951</v>
      </c>
      <c r="L30" s="375">
        <v>0</v>
      </c>
      <c r="M30" s="375">
        <v>0</v>
      </c>
      <c r="O30" s="3"/>
    </row>
    <row r="31" spans="2:15" ht="15.75" thickBot="1">
      <c r="B31" s="372" t="s">
        <v>1700</v>
      </c>
      <c r="C31" s="377">
        <f>SUM(C30)</f>
        <v>1901951</v>
      </c>
      <c r="D31" s="377">
        <f aca="true" t="shared" si="0" ref="D31:M31">SUM(D30)</f>
        <v>0</v>
      </c>
      <c r="E31" s="377">
        <f t="shared" si="0"/>
        <v>0</v>
      </c>
      <c r="F31" s="377">
        <f t="shared" si="0"/>
        <v>1901951</v>
      </c>
      <c r="G31" s="377">
        <f t="shared" si="0"/>
        <v>1901951</v>
      </c>
      <c r="H31" s="377">
        <f t="shared" si="0"/>
        <v>0</v>
      </c>
      <c r="I31" s="377">
        <f t="shared" si="0"/>
        <v>0</v>
      </c>
      <c r="J31" s="377">
        <f t="shared" si="0"/>
        <v>0</v>
      </c>
      <c r="K31" s="377">
        <f t="shared" si="0"/>
        <v>1901951</v>
      </c>
      <c r="L31" s="377">
        <f t="shared" si="0"/>
        <v>0</v>
      </c>
      <c r="M31" s="377">
        <f t="shared" si="0"/>
        <v>0</v>
      </c>
      <c r="O31" s="3"/>
    </row>
    <row r="32" spans="2:15" ht="27.75" customHeight="1" thickBot="1" thickTop="1">
      <c r="B32" s="372" t="s">
        <v>1701</v>
      </c>
      <c r="C32" s="377">
        <f>SUM(C27+C31)</f>
        <v>513779025</v>
      </c>
      <c r="D32" s="377">
        <f aca="true" t="shared" si="1" ref="D32:M32">SUM(D27+D31)</f>
        <v>12988514.11</v>
      </c>
      <c r="E32" s="377">
        <f t="shared" si="1"/>
        <v>48376269.699999996</v>
      </c>
      <c r="F32" s="377">
        <f t="shared" si="1"/>
        <v>478391269.41</v>
      </c>
      <c r="G32" s="377">
        <f t="shared" si="1"/>
        <v>370464650</v>
      </c>
      <c r="H32" s="377">
        <f t="shared" si="1"/>
        <v>12338637</v>
      </c>
      <c r="I32" s="377">
        <f t="shared" si="1"/>
        <v>40651087.85</v>
      </c>
      <c r="J32" s="377">
        <f t="shared" si="1"/>
        <v>30623007</v>
      </c>
      <c r="K32" s="377">
        <f t="shared" si="1"/>
        <v>372775206.15</v>
      </c>
      <c r="L32" s="377">
        <f t="shared" si="1"/>
        <v>105616063.26000005</v>
      </c>
      <c r="M32" s="377">
        <f t="shared" si="1"/>
        <v>143314375</v>
      </c>
      <c r="O32" s="3"/>
    </row>
    <row r="33" spans="2:13" ht="25.5" customHeight="1" thickTop="1">
      <c r="B33" s="9" t="s">
        <v>54</v>
      </c>
      <c r="C33" s="379">
        <v>650662028</v>
      </c>
      <c r="D33" s="379">
        <v>2278776</v>
      </c>
      <c r="E33" s="379">
        <v>139161779</v>
      </c>
      <c r="F33" s="379">
        <f>+C33+D33-E33</f>
        <v>513779025</v>
      </c>
      <c r="G33" s="379">
        <v>472846138</v>
      </c>
      <c r="H33" s="379">
        <v>15209939</v>
      </c>
      <c r="I33" s="379">
        <v>117591427</v>
      </c>
      <c r="J33" s="379">
        <v>0</v>
      </c>
      <c r="K33" s="379">
        <f>SUM(G33+H33-I33)</f>
        <v>370464650</v>
      </c>
      <c r="L33" s="379">
        <f>+F33-K33</f>
        <v>143314375</v>
      </c>
      <c r="M33" s="379">
        <f>+C33-G33</f>
        <v>177815890</v>
      </c>
    </row>
    <row r="34" spans="2:13" ht="28.5" customHeight="1">
      <c r="B34" s="482" t="s">
        <v>229</v>
      </c>
      <c r="C34" s="483"/>
      <c r="D34" s="483"/>
      <c r="E34" s="483"/>
      <c r="F34" s="483"/>
      <c r="G34" s="483"/>
      <c r="H34" s="483"/>
      <c r="I34" s="483"/>
      <c r="J34" s="483"/>
      <c r="K34" s="483"/>
      <c r="L34" s="483"/>
      <c r="M34" s="483"/>
    </row>
    <row r="35" spans="2:13" ht="15">
      <c r="B35" s="483" t="s">
        <v>67</v>
      </c>
      <c r="C35" s="483"/>
      <c r="D35" s="483"/>
      <c r="E35" s="483"/>
      <c r="F35" s="483"/>
      <c r="G35" s="483"/>
      <c r="H35" s="483"/>
      <c r="I35" s="483"/>
      <c r="J35" s="483"/>
      <c r="K35" s="483"/>
      <c r="L35" s="483"/>
      <c r="M35" s="483"/>
    </row>
    <row r="36" spans="2:8" ht="15">
      <c r="B36" s="370"/>
      <c r="H36" s="380" t="s">
        <v>67</v>
      </c>
    </row>
  </sheetData>
  <sheetProtection/>
  <mergeCells count="9">
    <mergeCell ref="B3:K4"/>
    <mergeCell ref="L3:M4"/>
    <mergeCell ref="B34:M34"/>
    <mergeCell ref="B35:M35"/>
    <mergeCell ref="B1:M1"/>
    <mergeCell ref="B2:M2"/>
    <mergeCell ref="C5:F5"/>
    <mergeCell ref="G5:K5"/>
    <mergeCell ref="L5:M5"/>
  </mergeCells>
  <printOptions/>
  <pageMargins left="0.7" right="0.7" top="0.75" bottom="0.75" header="0.3" footer="0.3"/>
  <pageSetup fitToHeight="1" fitToWidth="1" horizontalDpi="600" verticalDpi="600" orientation="landscape" paperSize="9" scale="69" r:id="rId1"/>
  <headerFooter>
    <oddFooter>&amp;C5</oddFooter>
  </headerFooter>
  <ignoredErrors>
    <ignoredError sqref="F27" formula="1"/>
  </ignoredErrors>
</worksheet>
</file>

<file path=xl/worksheets/sheet6.xml><?xml version="1.0" encoding="utf-8"?>
<worksheet xmlns="http://schemas.openxmlformats.org/spreadsheetml/2006/main" xmlns:r="http://schemas.openxmlformats.org/officeDocument/2006/relationships">
  <sheetPr>
    <tabColor rgb="FFFF0000"/>
  </sheetPr>
  <dimension ref="B1:R640"/>
  <sheetViews>
    <sheetView view="pageBreakPreview" zoomScale="70" zoomScaleSheetLayoutView="70" zoomScalePageLayoutView="0" workbookViewId="0" topLeftCell="A1">
      <selection activeCell="A90" sqref="A90"/>
    </sheetView>
  </sheetViews>
  <sheetFormatPr defaultColWidth="9.140625" defaultRowHeight="12.75"/>
  <cols>
    <col min="1" max="1" width="2.7109375" style="69" customWidth="1"/>
    <col min="2" max="2" width="15.8515625" style="68" customWidth="1"/>
    <col min="3" max="3" width="9.140625" style="69" customWidth="1"/>
    <col min="4" max="4" width="62.8515625" style="69" customWidth="1"/>
    <col min="5" max="5" width="25.57421875" style="121" bestFit="1" customWidth="1"/>
    <col min="6" max="6" width="1.7109375" style="69" customWidth="1"/>
    <col min="7" max="7" width="26.8515625" style="69" customWidth="1"/>
    <col min="8" max="8" width="26.421875" style="69" customWidth="1"/>
    <col min="9" max="9" width="17.421875" style="69" customWidth="1"/>
    <col min="10" max="13" width="9.140625" style="69" customWidth="1"/>
    <col min="14" max="14" width="17.00390625" style="69" bestFit="1" customWidth="1"/>
    <col min="15" max="15" width="17.7109375" style="69" bestFit="1" customWidth="1"/>
    <col min="16" max="16384" width="9.140625" style="69" customWidth="1"/>
  </cols>
  <sheetData>
    <row r="1" spans="2:5" s="118" customFormat="1" ht="6" customHeight="1">
      <c r="B1" s="119"/>
      <c r="E1" s="120"/>
    </row>
    <row r="2" spans="2:9" s="118" customFormat="1" ht="21">
      <c r="B2" s="488" t="s">
        <v>785</v>
      </c>
      <c r="C2" s="488"/>
      <c r="D2" s="488"/>
      <c r="E2" s="488"/>
      <c r="F2" s="488"/>
      <c r="G2" s="488"/>
      <c r="H2" s="488"/>
      <c r="I2" s="488"/>
    </row>
    <row r="3" spans="2:5" s="118" customFormat="1" ht="5.25" customHeight="1">
      <c r="B3" s="119"/>
      <c r="E3" s="120"/>
    </row>
    <row r="4" spans="2:9" s="118" customFormat="1" ht="18.75">
      <c r="B4" s="489" t="s">
        <v>786</v>
      </c>
      <c r="C4" s="489"/>
      <c r="D4" s="489"/>
      <c r="E4" s="489"/>
      <c r="F4" s="489"/>
      <c r="G4" s="489"/>
      <c r="H4" s="489"/>
      <c r="I4" s="489"/>
    </row>
    <row r="5" ht="6" customHeight="1"/>
    <row r="6" spans="2:9" s="122" customFormat="1" ht="18.75">
      <c r="B6" s="152" t="s">
        <v>298</v>
      </c>
      <c r="C6" s="490" t="s">
        <v>0</v>
      </c>
      <c r="D6" s="490"/>
      <c r="E6" s="153" t="s">
        <v>787</v>
      </c>
      <c r="F6" s="151"/>
      <c r="G6" s="490" t="s">
        <v>788</v>
      </c>
      <c r="H6" s="490"/>
      <c r="I6" s="490"/>
    </row>
    <row r="7" spans="2:7" ht="15.75">
      <c r="B7" s="134" t="s">
        <v>796</v>
      </c>
      <c r="C7" s="118"/>
      <c r="D7" s="118"/>
      <c r="G7" s="133"/>
    </row>
    <row r="8" spans="2:7" ht="15.75">
      <c r="B8" s="119" t="s">
        <v>797</v>
      </c>
      <c r="C8" s="135" t="s">
        <v>798</v>
      </c>
      <c r="D8" s="118"/>
      <c r="E8" s="121">
        <v>-10000000</v>
      </c>
      <c r="G8" s="133">
        <v>0</v>
      </c>
    </row>
    <row r="9" spans="2:7" ht="15.75">
      <c r="B9" s="68">
        <v>3006007</v>
      </c>
      <c r="C9" s="69" t="s">
        <v>792</v>
      </c>
      <c r="G9" s="69">
        <v>7864464.99</v>
      </c>
    </row>
    <row r="10" spans="2:7" ht="15.75">
      <c r="B10" s="68">
        <v>3006008</v>
      </c>
      <c r="C10" s="69" t="s">
        <v>793</v>
      </c>
      <c r="G10" s="69">
        <v>28051879.18</v>
      </c>
    </row>
    <row r="11" spans="2:7" ht="15.75">
      <c r="B11" s="119">
        <v>3006003</v>
      </c>
      <c r="C11" s="118" t="s">
        <v>799</v>
      </c>
      <c r="D11" s="118"/>
      <c r="E11" s="121">
        <v>-14818763</v>
      </c>
      <c r="G11" s="69">
        <v>17048678</v>
      </c>
    </row>
    <row r="12" spans="2:7" ht="15.75">
      <c r="B12" s="68">
        <v>3006009</v>
      </c>
      <c r="C12" s="69" t="s">
        <v>800</v>
      </c>
      <c r="E12" s="121">
        <v>-38975545</v>
      </c>
      <c r="G12" s="69">
        <v>39403185</v>
      </c>
    </row>
    <row r="13" spans="5:7" ht="16.5" thickBot="1">
      <c r="E13" s="136">
        <f>-SUM(E8:E12)</f>
        <v>63794308</v>
      </c>
      <c r="G13" s="137">
        <f>SUM(G8:G12)</f>
        <v>92368207.17</v>
      </c>
    </row>
    <row r="14" ht="16.5" thickTop="1">
      <c r="G14" s="167"/>
    </row>
    <row r="15" spans="2:7" ht="15.75">
      <c r="B15" s="163"/>
      <c r="D15" s="69" t="s">
        <v>1635</v>
      </c>
      <c r="E15" s="126">
        <v>51568867</v>
      </c>
      <c r="G15" s="69">
        <v>49068545</v>
      </c>
    </row>
    <row r="16" spans="2:7" ht="15.75">
      <c r="B16" s="163"/>
      <c r="D16" s="69" t="s">
        <v>1649</v>
      </c>
      <c r="E16" s="126">
        <f>+E13-E15</f>
        <v>12225441</v>
      </c>
      <c r="G16" s="69">
        <v>43299662</v>
      </c>
    </row>
    <row r="17" spans="2:7" ht="16.5" thickBot="1">
      <c r="B17" s="163"/>
      <c r="E17" s="131">
        <f>E15+E16</f>
        <v>63794308</v>
      </c>
      <c r="G17" s="145">
        <f>G15+G16</f>
        <v>92368207</v>
      </c>
    </row>
    <row r="18" spans="2:7" ht="16.5" thickTop="1">
      <c r="B18" s="164" t="s">
        <v>1650</v>
      </c>
      <c r="G18" s="133"/>
    </row>
    <row r="19" spans="2:8" ht="15.75">
      <c r="B19" s="119" t="s">
        <v>803</v>
      </c>
      <c r="C19" s="135" t="s">
        <v>804</v>
      </c>
      <c r="D19" s="118"/>
      <c r="E19" s="120">
        <v>-2135168</v>
      </c>
      <c r="G19" s="118">
        <v>0</v>
      </c>
      <c r="H19" s="69" t="s">
        <v>67</v>
      </c>
    </row>
    <row r="20" spans="2:7" ht="15.75">
      <c r="B20" s="119"/>
      <c r="C20" s="140" t="s">
        <v>1644</v>
      </c>
      <c r="D20" s="118"/>
      <c r="E20" s="120">
        <v>0</v>
      </c>
      <c r="G20" s="118">
        <v>0</v>
      </c>
    </row>
    <row r="21" spans="2:8" ht="15.75">
      <c r="B21" s="119" t="s">
        <v>805</v>
      </c>
      <c r="C21" s="135" t="s">
        <v>806</v>
      </c>
      <c r="D21" s="118"/>
      <c r="E21" s="120">
        <v>-633172</v>
      </c>
      <c r="G21" s="118"/>
      <c r="H21" s="165" t="s">
        <v>67</v>
      </c>
    </row>
    <row r="22" spans="2:7" ht="15.75">
      <c r="B22" s="119" t="s">
        <v>807</v>
      </c>
      <c r="C22" s="135" t="s">
        <v>808</v>
      </c>
      <c r="D22" s="118"/>
      <c r="E22" s="120">
        <v>-256076</v>
      </c>
      <c r="G22" s="118"/>
    </row>
    <row r="23" spans="5:7" ht="16.5" thickBot="1">
      <c r="E23" s="136">
        <f>-SUM(E19:E22)</f>
        <v>3024416</v>
      </c>
      <c r="G23" s="136">
        <f>-SUM(G19:G22)</f>
        <v>0</v>
      </c>
    </row>
    <row r="24" spans="5:7" ht="16.5" thickTop="1">
      <c r="E24" s="126"/>
      <c r="G24" s="133"/>
    </row>
    <row r="25" spans="4:5" ht="15.75">
      <c r="D25" s="69" t="s">
        <v>1635</v>
      </c>
      <c r="E25" s="156">
        <f>917106+272278+110118</f>
        <v>1299502</v>
      </c>
    </row>
    <row r="26" spans="4:5" ht="15.75">
      <c r="D26" s="69" t="s">
        <v>1636</v>
      </c>
      <c r="E26" s="156">
        <f>1218062+360894+145958</f>
        <v>1724914</v>
      </c>
    </row>
    <row r="27" ht="16.5" thickBot="1">
      <c r="E27" s="136">
        <f>SUM(E25:E26)</f>
        <v>3024416</v>
      </c>
    </row>
    <row r="28" spans="2:8" ht="16.5" thickTop="1">
      <c r="B28" s="163"/>
      <c r="E28" s="168"/>
      <c r="G28" s="168"/>
      <c r="H28" s="165"/>
    </row>
    <row r="29" spans="2:7" ht="15.75">
      <c r="B29" s="164" t="s">
        <v>1651</v>
      </c>
      <c r="E29" s="168"/>
      <c r="G29" s="168"/>
    </row>
    <row r="30" spans="2:7" ht="15.75">
      <c r="B30" s="164"/>
      <c r="C30" s="140" t="s">
        <v>1662</v>
      </c>
      <c r="E30" s="168"/>
      <c r="G30" s="118">
        <v>-1827840</v>
      </c>
    </row>
    <row r="31" spans="2:7" ht="15.75">
      <c r="B31" s="164"/>
      <c r="C31" s="140" t="s">
        <v>1663</v>
      </c>
      <c r="E31" s="168"/>
      <c r="G31" s="118">
        <v>191253</v>
      </c>
    </row>
    <row r="32" spans="2:8" ht="15.75">
      <c r="B32" s="139">
        <v>4016055</v>
      </c>
      <c r="C32" s="140" t="s">
        <v>801</v>
      </c>
      <c r="D32" s="140"/>
      <c r="E32" s="120">
        <v>-2992500</v>
      </c>
      <c r="G32" s="118">
        <v>-4018500</v>
      </c>
      <c r="H32" s="165"/>
    </row>
    <row r="33" spans="2:7" ht="15.75">
      <c r="B33" s="139">
        <v>4016056</v>
      </c>
      <c r="C33" s="140" t="s">
        <v>802</v>
      </c>
      <c r="D33" s="140"/>
      <c r="E33" s="120">
        <v>429108</v>
      </c>
      <c r="G33" s="118">
        <v>743252</v>
      </c>
    </row>
    <row r="34" spans="2:7" ht="15.75">
      <c r="B34" s="163"/>
      <c r="C34" s="140" t="s">
        <v>1645</v>
      </c>
      <c r="D34" s="118"/>
      <c r="E34" s="120">
        <v>0</v>
      </c>
      <c r="G34" s="118">
        <v>-1361700</v>
      </c>
    </row>
    <row r="35" spans="2:7" ht="16.5" thickBot="1">
      <c r="B35" s="163"/>
      <c r="C35" s="140"/>
      <c r="D35" s="118"/>
      <c r="E35" s="131">
        <f>SUM(E32:E34)</f>
        <v>-2563392</v>
      </c>
      <c r="G35" s="131">
        <f>SUM(G30:G34)</f>
        <v>-6273535</v>
      </c>
    </row>
    <row r="36" spans="2:7" ht="16.5" thickTop="1">
      <c r="B36" s="163"/>
      <c r="C36" s="140"/>
      <c r="D36" s="118"/>
      <c r="E36" s="120"/>
      <c r="G36" s="118"/>
    </row>
    <row r="37" spans="2:7" ht="15.75">
      <c r="B37" s="163"/>
      <c r="C37" s="140"/>
      <c r="D37" s="69" t="s">
        <v>1635</v>
      </c>
      <c r="E37" s="168">
        <f>1772067</f>
        <v>1772067</v>
      </c>
      <c r="G37" s="133">
        <v>3800739</v>
      </c>
    </row>
    <row r="38" spans="2:7" ht="15.75">
      <c r="B38" s="163"/>
      <c r="C38" s="140"/>
      <c r="D38" s="69" t="s">
        <v>1636</v>
      </c>
      <c r="E38" s="168">
        <f>791325</f>
        <v>791325</v>
      </c>
      <c r="G38" s="133">
        <v>2472796</v>
      </c>
    </row>
    <row r="39" spans="2:7" ht="16.5" thickBot="1">
      <c r="B39" s="163"/>
      <c r="C39" s="140"/>
      <c r="E39" s="136">
        <f>SUM(E37:E38)</f>
        <v>2563392</v>
      </c>
      <c r="G39" s="136">
        <f>SUM(G37:G38)</f>
        <v>6273535</v>
      </c>
    </row>
    <row r="40" spans="2:7" ht="16.5" thickTop="1">
      <c r="B40" s="163"/>
      <c r="E40" s="168"/>
      <c r="G40" s="168"/>
    </row>
    <row r="41" spans="2:7" ht="15.75">
      <c r="B41" s="141" t="s">
        <v>809</v>
      </c>
      <c r="C41" s="118"/>
      <c r="D41" s="118"/>
      <c r="E41" s="126"/>
      <c r="G41" s="133"/>
    </row>
    <row r="42" spans="2:5" ht="15.75">
      <c r="B42" s="119" t="s">
        <v>810</v>
      </c>
      <c r="C42" s="135" t="s">
        <v>811</v>
      </c>
      <c r="D42" s="118"/>
      <c r="E42" s="121">
        <v>-9882834</v>
      </c>
    </row>
    <row r="43" spans="2:5" ht="15.75">
      <c r="B43" s="119"/>
      <c r="C43" s="135" t="s">
        <v>1653</v>
      </c>
      <c r="D43" s="118"/>
      <c r="E43" s="121">
        <v>-200000</v>
      </c>
    </row>
    <row r="44" spans="2:8" ht="15.75">
      <c r="B44" s="119" t="s">
        <v>812</v>
      </c>
      <c r="C44" s="135" t="s">
        <v>813</v>
      </c>
      <c r="D44" s="118"/>
      <c r="E44" s="121">
        <v>-18027316</v>
      </c>
      <c r="H44" s="69">
        <f>-4551010-5078980</f>
        <v>-9629990</v>
      </c>
    </row>
    <row r="45" spans="2:8" ht="15.75">
      <c r="B45" s="119" t="s">
        <v>814</v>
      </c>
      <c r="C45" s="135" t="s">
        <v>815</v>
      </c>
      <c r="D45" s="118"/>
      <c r="E45" s="121">
        <v>-14830651</v>
      </c>
      <c r="H45" s="69">
        <v>-5078980</v>
      </c>
    </row>
    <row r="46" spans="2:7" ht="15.75">
      <c r="B46" s="119" t="s">
        <v>816</v>
      </c>
      <c r="C46" s="135" t="s">
        <v>817</v>
      </c>
      <c r="D46" s="118"/>
      <c r="E46" s="121">
        <v>-33974962</v>
      </c>
      <c r="G46" s="69">
        <f>4474022+76988</f>
        <v>4551010</v>
      </c>
    </row>
    <row r="47" spans="2:7" ht="15.75">
      <c r="B47" s="119">
        <v>4016052</v>
      </c>
      <c r="C47" s="135" t="s">
        <v>1646</v>
      </c>
      <c r="D47" s="118"/>
      <c r="G47" s="69">
        <v>5078980</v>
      </c>
    </row>
    <row r="48" spans="2:7" ht="15.75">
      <c r="B48" s="119"/>
      <c r="C48" s="135" t="s">
        <v>818</v>
      </c>
      <c r="D48" s="118"/>
      <c r="E48" s="121">
        <v>-73238543</v>
      </c>
      <c r="G48" s="133"/>
    </row>
    <row r="49" spans="2:7" ht="15.75">
      <c r="B49" s="119"/>
      <c r="C49" s="135" t="s">
        <v>819</v>
      </c>
      <c r="E49" s="121">
        <v>-4200000</v>
      </c>
      <c r="G49" s="133"/>
    </row>
    <row r="50" spans="2:8" ht="16.5" thickBot="1">
      <c r="B50" s="119"/>
      <c r="C50" s="118"/>
      <c r="E50" s="136">
        <f>-SUM(E42:E49)</f>
        <v>154354306</v>
      </c>
      <c r="G50" s="136">
        <f>SUM(G42:G49)</f>
        <v>9629990</v>
      </c>
      <c r="H50" s="165">
        <f>9629990+G50</f>
        <v>19259980</v>
      </c>
    </row>
    <row r="51" spans="5:7" ht="16.5" thickTop="1">
      <c r="E51" s="126"/>
      <c r="G51" s="133"/>
    </row>
    <row r="52" spans="5:7" ht="15.75">
      <c r="E52" s="132" t="s">
        <v>820</v>
      </c>
      <c r="G52" s="132" t="s">
        <v>821</v>
      </c>
    </row>
    <row r="53" spans="2:7" ht="15.75">
      <c r="B53" s="134" t="s">
        <v>822</v>
      </c>
      <c r="C53" s="118"/>
      <c r="D53" s="118"/>
      <c r="E53" s="126"/>
      <c r="G53" s="133"/>
    </row>
    <row r="54" spans="2:7" ht="15.75">
      <c r="B54" s="119" t="s">
        <v>823</v>
      </c>
      <c r="C54" s="135" t="s">
        <v>824</v>
      </c>
      <c r="D54" s="118"/>
      <c r="E54" s="121">
        <v>-1586929</v>
      </c>
      <c r="G54" s="133">
        <v>0</v>
      </c>
    </row>
    <row r="55" spans="2:7" ht="15.75">
      <c r="B55" s="119" t="s">
        <v>825</v>
      </c>
      <c r="C55" s="135" t="s">
        <v>826</v>
      </c>
      <c r="D55" s="118"/>
      <c r="E55" s="121">
        <v>-802113</v>
      </c>
      <c r="G55" s="133">
        <v>0</v>
      </c>
    </row>
    <row r="56" spans="2:7" ht="15.75">
      <c r="B56" s="119" t="s">
        <v>827</v>
      </c>
      <c r="C56" s="135" t="s">
        <v>828</v>
      </c>
      <c r="D56" s="118"/>
      <c r="E56" s="121">
        <v>-851139.63</v>
      </c>
      <c r="G56" s="133">
        <v>0</v>
      </c>
    </row>
    <row r="57" spans="2:7" ht="15.75">
      <c r="B57" s="119" t="s">
        <v>829</v>
      </c>
      <c r="C57" s="135" t="s">
        <v>830</v>
      </c>
      <c r="D57" s="118"/>
      <c r="E57" s="121">
        <v>-4701219.67</v>
      </c>
      <c r="G57" s="133">
        <v>0</v>
      </c>
    </row>
    <row r="58" spans="2:7" ht="16.5" thickBot="1">
      <c r="B58" s="119"/>
      <c r="C58" s="118"/>
      <c r="D58" s="118"/>
      <c r="E58" s="136">
        <f>-SUM(E54:E57)</f>
        <v>7941401.3</v>
      </c>
      <c r="G58" s="136">
        <f>-SUM(G54:G57)</f>
        <v>0</v>
      </c>
    </row>
    <row r="59" spans="2:7" ht="16.5" thickTop="1">
      <c r="B59" s="119"/>
      <c r="C59" s="118"/>
      <c r="D59" s="118"/>
      <c r="E59" s="168"/>
      <c r="G59" s="168"/>
    </row>
    <row r="60" spans="2:7" ht="15.75">
      <c r="B60" s="119"/>
      <c r="C60" s="118"/>
      <c r="D60" s="69" t="s">
        <v>1635</v>
      </c>
      <c r="E60" s="168">
        <v>4717690</v>
      </c>
      <c r="G60" s="168"/>
    </row>
    <row r="61" spans="2:15" ht="15.75">
      <c r="B61" s="119"/>
      <c r="C61" s="118"/>
      <c r="D61" s="69" t="s">
        <v>1636</v>
      </c>
      <c r="E61" s="168">
        <v>3223711</v>
      </c>
      <c r="G61" s="168"/>
      <c r="H61" s="142"/>
      <c r="I61" s="142"/>
      <c r="J61" s="142"/>
      <c r="K61" s="142"/>
      <c r="L61" s="142"/>
      <c r="M61" s="142"/>
      <c r="N61" s="142"/>
      <c r="O61" s="142">
        <f>M61-N61</f>
        <v>0</v>
      </c>
    </row>
    <row r="62" spans="5:15" ht="16.5" thickBot="1">
      <c r="E62" s="136">
        <f>SUM(E60:E61)</f>
        <v>7941401</v>
      </c>
      <c r="G62" s="133"/>
      <c r="H62" s="142"/>
      <c r="I62" s="142"/>
      <c r="J62" s="142"/>
      <c r="K62" s="142"/>
      <c r="L62" s="142"/>
      <c r="M62" s="142"/>
      <c r="N62" s="142"/>
      <c r="O62" s="142">
        <f>M62-N62</f>
        <v>0</v>
      </c>
    </row>
    <row r="63" spans="2:15" ht="16.5" thickTop="1">
      <c r="B63" s="125" t="s">
        <v>831</v>
      </c>
      <c r="D63" s="142"/>
      <c r="F63" s="142"/>
      <c r="G63" s="142"/>
      <c r="H63" s="69" t="s">
        <v>4</v>
      </c>
      <c r="I63" s="69">
        <v>19621000</v>
      </c>
      <c r="J63" s="142"/>
      <c r="K63" s="142"/>
      <c r="L63" s="142"/>
      <c r="M63" s="142"/>
      <c r="N63" s="142">
        <v>19666000</v>
      </c>
      <c r="O63" s="142">
        <f>M63-N63</f>
        <v>-19666000</v>
      </c>
    </row>
    <row r="64" spans="2:9" ht="15.75">
      <c r="B64" s="138" t="s">
        <v>832</v>
      </c>
      <c r="C64" s="125" t="s">
        <v>833</v>
      </c>
      <c r="D64" s="142"/>
      <c r="F64" s="142"/>
      <c r="G64" s="142"/>
      <c r="H64" s="491" t="s">
        <v>834</v>
      </c>
      <c r="I64" s="144">
        <v>45000</v>
      </c>
    </row>
    <row r="65" spans="2:8" ht="16.5" customHeight="1">
      <c r="B65" s="68">
        <v>4001001</v>
      </c>
      <c r="C65" s="69" t="s">
        <v>1654</v>
      </c>
      <c r="D65" s="142"/>
      <c r="E65" s="121">
        <v>0</v>
      </c>
      <c r="F65" s="142"/>
      <c r="G65" s="142">
        <f>19666000-45000</f>
        <v>19621000</v>
      </c>
      <c r="H65" s="491"/>
    </row>
    <row r="66" spans="5:9" ht="16.5" thickBot="1">
      <c r="E66" s="137">
        <f>-E65</f>
        <v>0</v>
      </c>
      <c r="G66" s="143">
        <f>G65</f>
        <v>19621000</v>
      </c>
      <c r="I66" s="131">
        <f>I63+I64</f>
        <v>19666000</v>
      </c>
    </row>
    <row r="67" ht="16.5" thickTop="1">
      <c r="I67" s="133"/>
    </row>
    <row r="68" ht="37.5" customHeight="1">
      <c r="H68" s="124"/>
    </row>
    <row r="69" ht="15.75">
      <c r="B69" s="163"/>
    </row>
    <row r="70" spans="5:7" ht="15.75">
      <c r="E70" s="123"/>
      <c r="G70" s="124"/>
    </row>
    <row r="71" spans="2:6" ht="18.75">
      <c r="B71" s="154" t="s">
        <v>1647</v>
      </c>
      <c r="D71" s="125"/>
      <c r="E71" s="126"/>
      <c r="F71" s="125"/>
    </row>
    <row r="72" spans="2:6" ht="17.25">
      <c r="B72" s="127" t="s">
        <v>789</v>
      </c>
      <c r="C72" s="128" t="s">
        <v>790</v>
      </c>
      <c r="D72" s="125"/>
      <c r="E72" s="126"/>
      <c r="F72" s="125"/>
    </row>
    <row r="73" spans="2:7" ht="15.75">
      <c r="B73" s="68">
        <v>3006001</v>
      </c>
      <c r="C73" s="69" t="s">
        <v>791</v>
      </c>
      <c r="E73" s="121">
        <v>11558533.6</v>
      </c>
      <c r="G73" s="69">
        <v>6798468.95</v>
      </c>
    </row>
    <row r="74" spans="2:7" ht="15.75">
      <c r="B74" s="68">
        <v>3006021</v>
      </c>
      <c r="C74" s="69" t="s">
        <v>1648</v>
      </c>
      <c r="E74" s="121">
        <f>60187353+4196</f>
        <v>60191549</v>
      </c>
      <c r="G74" s="69">
        <v>50167979</v>
      </c>
    </row>
    <row r="75" spans="2:7" ht="15.75">
      <c r="B75" s="68">
        <v>3006055</v>
      </c>
      <c r="C75" s="69" t="s">
        <v>794</v>
      </c>
      <c r="G75" s="69">
        <v>15000000</v>
      </c>
    </row>
    <row r="76" spans="4:8" ht="16.5" thickBot="1">
      <c r="D76" s="129" t="s">
        <v>26</v>
      </c>
      <c r="E76" s="130">
        <f>SUM(E73:E75)</f>
        <v>71750082.6</v>
      </c>
      <c r="F76" s="129"/>
      <c r="G76" s="130">
        <f>SUM(G73:G75)</f>
        <v>71966447.95</v>
      </c>
      <c r="H76" s="133"/>
    </row>
    <row r="77" spans="4:8" ht="16.5" thickTop="1">
      <c r="D77" s="129"/>
      <c r="E77" s="132"/>
      <c r="F77" s="129"/>
      <c r="G77" s="133"/>
      <c r="H77" s="133"/>
    </row>
    <row r="78" ht="15.75">
      <c r="D78" s="69" t="s">
        <v>4</v>
      </c>
    </row>
    <row r="79" ht="15.75">
      <c r="D79" s="69" t="s">
        <v>795</v>
      </c>
    </row>
    <row r="81" spans="2:9" ht="15.75">
      <c r="B81" s="163"/>
      <c r="I81" s="133"/>
    </row>
    <row r="82" spans="2:7" ht="15.75">
      <c r="B82" s="138" t="s">
        <v>835</v>
      </c>
      <c r="C82" s="125" t="s">
        <v>836</v>
      </c>
      <c r="G82" s="69">
        <v>0</v>
      </c>
    </row>
    <row r="83" spans="2:7" ht="15.75">
      <c r="B83" s="68">
        <v>4006001</v>
      </c>
      <c r="C83" s="69" t="s">
        <v>837</v>
      </c>
      <c r="G83" s="69">
        <v>-200000</v>
      </c>
    </row>
    <row r="84" spans="2:7" ht="15.75">
      <c r="B84" s="68">
        <v>4006002</v>
      </c>
      <c r="C84" s="69" t="s">
        <v>838</v>
      </c>
      <c r="G84" s="69">
        <v>-50000</v>
      </c>
    </row>
    <row r="85" spans="2:7" ht="15.75">
      <c r="B85" s="68">
        <v>4006003</v>
      </c>
      <c r="C85" s="69" t="s">
        <v>839</v>
      </c>
      <c r="G85" s="69">
        <v>-50000</v>
      </c>
    </row>
    <row r="86" spans="2:9" ht="15.75">
      <c r="B86" s="68">
        <v>4006004</v>
      </c>
      <c r="C86" s="69" t="s">
        <v>840</v>
      </c>
      <c r="G86" s="69">
        <v>-111000</v>
      </c>
      <c r="H86" s="69" t="s">
        <v>4</v>
      </c>
      <c r="I86" s="69">
        <f>G88</f>
        <v>421000</v>
      </c>
    </row>
    <row r="87" spans="2:9" ht="15.75">
      <c r="B87" s="68">
        <v>4006006</v>
      </c>
      <c r="C87" s="69" t="s">
        <v>841</v>
      </c>
      <c r="E87" s="121">
        <f>-10000*0</f>
        <v>0</v>
      </c>
      <c r="G87" s="69">
        <v>-10000</v>
      </c>
      <c r="H87" s="69" t="s">
        <v>5</v>
      </c>
      <c r="I87" s="69">
        <v>0</v>
      </c>
    </row>
    <row r="88" spans="5:9" ht="16.5" thickBot="1">
      <c r="E88" s="137">
        <f>SUM(E82:E87)</f>
        <v>0</v>
      </c>
      <c r="G88" s="145">
        <f>-SUM(G82:G87)</f>
        <v>421000</v>
      </c>
      <c r="I88" s="131">
        <f>I86+I87</f>
        <v>421000</v>
      </c>
    </row>
    <row r="89" spans="4:9" ht="16.5" thickTop="1">
      <c r="D89" s="69" t="s">
        <v>67</v>
      </c>
      <c r="E89" s="120"/>
      <c r="G89" s="118"/>
      <c r="I89" s="133"/>
    </row>
    <row r="90" ht="15.75">
      <c r="B90" s="125" t="s">
        <v>1341</v>
      </c>
    </row>
    <row r="91" ht="15.75">
      <c r="B91" s="68" t="s">
        <v>264</v>
      </c>
    </row>
    <row r="93" spans="2:7" ht="15.75">
      <c r="B93" s="68">
        <v>13011060</v>
      </c>
      <c r="C93" s="69" t="s">
        <v>1342</v>
      </c>
      <c r="E93" s="69">
        <v>9200000</v>
      </c>
      <c r="G93" s="69">
        <v>-9200000</v>
      </c>
    </row>
    <row r="94" spans="2:7" ht="15.75">
      <c r="B94" s="68">
        <v>13011088</v>
      </c>
      <c r="C94" s="69" t="s">
        <v>1343</v>
      </c>
      <c r="E94" s="69">
        <v>10000000</v>
      </c>
      <c r="G94" s="69">
        <v>-10000000</v>
      </c>
    </row>
    <row r="95" spans="5:7" ht="16.5" thickBot="1">
      <c r="E95" s="131">
        <f>SUM(E93:E94)</f>
        <v>19200000</v>
      </c>
      <c r="G95" s="131">
        <f>-SUM(G93:G94)</f>
        <v>19200000</v>
      </c>
    </row>
    <row r="96" ht="16.5" thickTop="1"/>
    <row r="97" spans="2:3" ht="15.75">
      <c r="B97" s="138" t="s">
        <v>842</v>
      </c>
      <c r="C97" s="169" t="s">
        <v>1634</v>
      </c>
    </row>
    <row r="98" spans="2:7" ht="15.75">
      <c r="B98" s="68">
        <v>4016003</v>
      </c>
      <c r="C98" s="69" t="s">
        <v>843</v>
      </c>
      <c r="G98" s="69">
        <v>-3500838</v>
      </c>
    </row>
    <row r="99" spans="2:7" ht="15.75">
      <c r="B99" s="68">
        <v>4016010</v>
      </c>
      <c r="C99" s="69" t="s">
        <v>844</v>
      </c>
      <c r="G99" s="69">
        <v>1</v>
      </c>
    </row>
    <row r="100" spans="2:7" ht="15.75">
      <c r="B100" s="68">
        <v>4016022</v>
      </c>
      <c r="C100" s="69" t="s">
        <v>845</v>
      </c>
      <c r="G100" s="69">
        <v>-27202</v>
      </c>
    </row>
    <row r="101" spans="2:7" ht="15.75">
      <c r="B101" s="68">
        <v>4016026</v>
      </c>
      <c r="C101" s="69" t="s">
        <v>846</v>
      </c>
      <c r="G101" s="69">
        <v>-14004402</v>
      </c>
    </row>
    <row r="102" spans="2:7" ht="15.75">
      <c r="B102" s="68">
        <v>4016027</v>
      </c>
      <c r="C102" s="69" t="s">
        <v>847</v>
      </c>
      <c r="E102" s="121">
        <v>-3000000</v>
      </c>
      <c r="G102" s="69">
        <v>-3500000</v>
      </c>
    </row>
    <row r="103" spans="2:7" ht="15.75">
      <c r="B103" s="68">
        <v>4016028</v>
      </c>
      <c r="C103" s="69" t="s">
        <v>848</v>
      </c>
      <c r="E103" s="121">
        <v>-3000000</v>
      </c>
      <c r="G103" s="69">
        <v>-3000000</v>
      </c>
    </row>
    <row r="104" spans="2:7" ht="15.75">
      <c r="B104" s="68">
        <v>4016033</v>
      </c>
      <c r="C104" s="69" t="s">
        <v>849</v>
      </c>
      <c r="E104" s="121">
        <v>-3000000</v>
      </c>
      <c r="G104" s="69">
        <v>-4000000</v>
      </c>
    </row>
    <row r="105" spans="2:7" ht="15.75">
      <c r="B105" s="68">
        <v>4016034</v>
      </c>
      <c r="C105" s="69" t="s">
        <v>850</v>
      </c>
      <c r="E105" s="121">
        <v>-1999000</v>
      </c>
      <c r="G105" s="69">
        <v>-2071010</v>
      </c>
    </row>
    <row r="106" spans="2:7" ht="15.75">
      <c r="B106" s="68">
        <v>4016035</v>
      </c>
      <c r="C106" s="69" t="s">
        <v>851</v>
      </c>
      <c r="E106" s="121">
        <v>-3000000</v>
      </c>
      <c r="G106" s="69">
        <v>-3000000</v>
      </c>
    </row>
    <row r="107" spans="2:7" ht="15.75">
      <c r="B107" s="68">
        <v>4016038</v>
      </c>
      <c r="C107" s="69" t="s">
        <v>852</v>
      </c>
      <c r="E107" s="121">
        <v>-7360591</v>
      </c>
      <c r="G107" s="69">
        <v>-6616261</v>
      </c>
    </row>
    <row r="108" spans="2:7" ht="15.75">
      <c r="B108" s="68">
        <v>4016040</v>
      </c>
      <c r="C108" s="69" t="s">
        <v>853</v>
      </c>
      <c r="E108" s="121">
        <v>-1376893</v>
      </c>
      <c r="G108" s="69">
        <v>-1237657</v>
      </c>
    </row>
    <row r="109" spans="2:7" ht="15.75">
      <c r="B109" s="68">
        <v>4016043</v>
      </c>
      <c r="C109" s="69" t="s">
        <v>854</v>
      </c>
      <c r="G109" s="69">
        <v>-399600</v>
      </c>
    </row>
    <row r="110" spans="2:7" ht="15.75">
      <c r="B110" s="68">
        <v>4016050</v>
      </c>
      <c r="C110" s="69" t="s">
        <v>855</v>
      </c>
      <c r="G110" s="69">
        <v>-325884</v>
      </c>
    </row>
    <row r="111" spans="2:7" ht="15.75">
      <c r="B111" s="68">
        <v>4016051</v>
      </c>
      <c r="C111" s="69" t="s">
        <v>856</v>
      </c>
      <c r="G111" s="69">
        <v>-360554</v>
      </c>
    </row>
    <row r="112" spans="2:7" ht="15.75">
      <c r="B112" s="68">
        <v>4016053</v>
      </c>
      <c r="C112" s="69" t="s">
        <v>857</v>
      </c>
      <c r="E112" s="121">
        <v>-3000800</v>
      </c>
      <c r="G112" s="69">
        <v>-3600000</v>
      </c>
    </row>
    <row r="113" spans="2:7" ht="15.75">
      <c r="B113" s="68">
        <v>4016054</v>
      </c>
      <c r="C113" s="69" t="s">
        <v>858</v>
      </c>
      <c r="G113" s="69">
        <v>-1399997</v>
      </c>
    </row>
    <row r="114" spans="2:7" ht="15.75">
      <c r="B114" s="68">
        <v>4016059</v>
      </c>
      <c r="C114" s="69" t="s">
        <v>859</v>
      </c>
      <c r="G114" s="69">
        <v>-1250000</v>
      </c>
    </row>
    <row r="115" spans="2:7" ht="15.75">
      <c r="B115" s="68">
        <v>4016060</v>
      </c>
      <c r="C115" s="69" t="s">
        <v>860</v>
      </c>
      <c r="G115" s="69">
        <v>-1227808</v>
      </c>
    </row>
    <row r="116" spans="2:7" ht="15.75">
      <c r="B116" s="68">
        <v>4016062</v>
      </c>
      <c r="C116" s="69" t="s">
        <v>861</v>
      </c>
      <c r="G116" s="69">
        <v>-750000</v>
      </c>
    </row>
    <row r="117" spans="2:7" ht="15.75">
      <c r="B117" s="68">
        <v>4016063</v>
      </c>
      <c r="C117" s="69" t="s">
        <v>862</v>
      </c>
      <c r="G117" s="69">
        <v>-750000</v>
      </c>
    </row>
    <row r="118" spans="2:9" ht="15.75">
      <c r="B118" s="68">
        <v>4016064</v>
      </c>
      <c r="C118" s="69" t="s">
        <v>863</v>
      </c>
      <c r="G118" s="69">
        <v>-2500000</v>
      </c>
      <c r="H118" s="69" t="s">
        <v>4</v>
      </c>
      <c r="I118" s="69">
        <v>0</v>
      </c>
    </row>
    <row r="119" spans="5:9" ht="16.5" thickBot="1">
      <c r="E119" s="136">
        <f>-SUM(E98:E118)</f>
        <v>25737284</v>
      </c>
      <c r="G119" s="131">
        <f>-SUM(G98:G118)</f>
        <v>53521212</v>
      </c>
      <c r="H119" s="69" t="s">
        <v>5</v>
      </c>
      <c r="I119" s="69">
        <f>G119</f>
        <v>53521212</v>
      </c>
    </row>
    <row r="120" ht="17.25" thickBot="1" thickTop="1">
      <c r="I120" s="131">
        <f>I118+I119</f>
        <v>53521212</v>
      </c>
    </row>
    <row r="121" spans="5:7" ht="16.5" thickTop="1">
      <c r="E121" s="132" t="s">
        <v>820</v>
      </c>
      <c r="G121" s="132" t="s">
        <v>821</v>
      </c>
    </row>
    <row r="122" spans="5:9" ht="15.75">
      <c r="E122" s="69"/>
      <c r="I122" s="69">
        <f>+I120+1361700+4018500+5078980+4474022+1827840+22969358-743252-191253</f>
        <v>92317107</v>
      </c>
    </row>
    <row r="123" ht="15.75">
      <c r="B123" s="125" t="s">
        <v>1344</v>
      </c>
    </row>
    <row r="124" ht="15.75">
      <c r="B124" s="68" t="s">
        <v>264</v>
      </c>
    </row>
    <row r="125" spans="2:7" ht="15.75">
      <c r="B125" s="68">
        <v>13011106</v>
      </c>
      <c r="C125" s="69" t="s">
        <v>1345</v>
      </c>
      <c r="E125" s="69">
        <v>5500000</v>
      </c>
      <c r="G125" s="69">
        <v>-4500000</v>
      </c>
    </row>
    <row r="126" spans="2:7" ht="15.75">
      <c r="B126" s="68">
        <v>13011107</v>
      </c>
      <c r="C126" s="69" t="s">
        <v>1346</v>
      </c>
      <c r="E126" s="69">
        <v>3000000</v>
      </c>
      <c r="G126" s="69">
        <v>-3000000</v>
      </c>
    </row>
    <row r="127" spans="2:7" ht="15.75">
      <c r="B127" s="68">
        <v>13011108</v>
      </c>
      <c r="C127" s="69" t="s">
        <v>1347</v>
      </c>
      <c r="E127" s="69">
        <v>3000000</v>
      </c>
      <c r="G127" s="69">
        <v>-3000000</v>
      </c>
    </row>
    <row r="128" spans="2:7" ht="15.75">
      <c r="B128" s="68">
        <v>13011109</v>
      </c>
      <c r="C128" s="69" t="s">
        <v>1348</v>
      </c>
      <c r="E128" s="69">
        <v>3000000</v>
      </c>
      <c r="G128" s="69">
        <v>-3000000</v>
      </c>
    </row>
    <row r="129" spans="2:7" ht="15.75">
      <c r="B129" s="68">
        <v>13011110</v>
      </c>
      <c r="C129" s="69" t="s">
        <v>1349</v>
      </c>
      <c r="E129" s="69">
        <v>3000000</v>
      </c>
      <c r="G129" s="69">
        <v>-3000000</v>
      </c>
    </row>
    <row r="130" spans="5:7" ht="16.5" thickBot="1">
      <c r="E130" s="131">
        <f>SUM(E125:E129)</f>
        <v>17500000</v>
      </c>
      <c r="G130" s="131">
        <f>-SUM(G125:G129)</f>
        <v>16500000</v>
      </c>
    </row>
    <row r="131" ht="16.5" thickTop="1"/>
    <row r="132" ht="15.75">
      <c r="B132" s="138" t="s">
        <v>864</v>
      </c>
    </row>
    <row r="134" spans="2:8" ht="15.75">
      <c r="B134" s="68">
        <v>4006012</v>
      </c>
      <c r="C134" s="69" t="s">
        <v>865</v>
      </c>
      <c r="G134" s="69">
        <v>-16106928</v>
      </c>
      <c r="H134" s="148" t="s">
        <v>1661</v>
      </c>
    </row>
    <row r="135" spans="2:8" ht="15.75">
      <c r="B135" s="68">
        <v>4016018</v>
      </c>
      <c r="C135" s="69" t="s">
        <v>866</v>
      </c>
      <c r="G135" s="69">
        <v>-22969358</v>
      </c>
      <c r="H135" s="148" t="s">
        <v>1661</v>
      </c>
    </row>
    <row r="136" spans="5:9" ht="16.5" thickBot="1">
      <c r="E136" s="136">
        <f>SUM(E134:E135)</f>
        <v>0</v>
      </c>
      <c r="G136" s="131">
        <f>SUM(G134:G135)</f>
        <v>-39076286</v>
      </c>
      <c r="H136" s="69" t="s">
        <v>4</v>
      </c>
      <c r="I136" s="69">
        <v>36026286</v>
      </c>
    </row>
    <row r="137" spans="8:9" ht="16.5" thickTop="1">
      <c r="H137" s="69" t="s">
        <v>867</v>
      </c>
      <c r="I137" s="69">
        <v>3050000</v>
      </c>
    </row>
    <row r="138" ht="16.5" thickBot="1">
      <c r="I138" s="131">
        <f>I136+I137</f>
        <v>39076286</v>
      </c>
    </row>
    <row r="139" ht="16.5" thickTop="1"/>
    <row r="140" spans="2:5" ht="15.75">
      <c r="B140" s="138" t="s">
        <v>868</v>
      </c>
      <c r="C140" s="125" t="s">
        <v>869</v>
      </c>
      <c r="E140" s="69"/>
    </row>
    <row r="141" spans="2:7" ht="15.75">
      <c r="B141" s="68" t="s">
        <v>870</v>
      </c>
      <c r="C141" s="69" t="s">
        <v>871</v>
      </c>
      <c r="E141" s="69">
        <v>306232.5</v>
      </c>
      <c r="G141" s="69">
        <v>-299653.5</v>
      </c>
    </row>
    <row r="142" spans="2:7" ht="15.75">
      <c r="B142" s="68" t="s">
        <v>872</v>
      </c>
      <c r="C142" s="69" t="s">
        <v>873</v>
      </c>
      <c r="E142" s="69"/>
      <c r="G142" s="69">
        <v>-2435</v>
      </c>
    </row>
    <row r="143" spans="2:7" ht="15.75">
      <c r="B143" s="68" t="s">
        <v>874</v>
      </c>
      <c r="C143" s="69" t="s">
        <v>875</v>
      </c>
      <c r="E143" s="69">
        <v>66923.75</v>
      </c>
      <c r="G143" s="69">
        <v>-64488.75</v>
      </c>
    </row>
    <row r="144" spans="2:7" ht="15.75">
      <c r="B144" s="68" t="s">
        <v>876</v>
      </c>
      <c r="C144" s="69" t="s">
        <v>877</v>
      </c>
      <c r="E144" s="69">
        <v>197566.94</v>
      </c>
      <c r="G144" s="69">
        <v>-192646.94</v>
      </c>
    </row>
    <row r="145" spans="2:7" ht="15.75">
      <c r="B145" s="68" t="s">
        <v>878</v>
      </c>
      <c r="C145" s="69" t="s">
        <v>879</v>
      </c>
      <c r="E145" s="69">
        <v>348315</v>
      </c>
      <c r="G145" s="69">
        <v>-354166</v>
      </c>
    </row>
    <row r="146" spans="2:7" ht="15.75">
      <c r="B146" s="68" t="s">
        <v>880</v>
      </c>
      <c r="C146" s="69" t="s">
        <v>881</v>
      </c>
      <c r="E146" s="69">
        <v>80000</v>
      </c>
      <c r="G146" s="69">
        <v>-80000</v>
      </c>
    </row>
    <row r="147" spans="2:7" ht="15.75">
      <c r="B147" s="68" t="s">
        <v>882</v>
      </c>
      <c r="C147" s="69" t="s">
        <v>883</v>
      </c>
      <c r="E147" s="69">
        <v>218000</v>
      </c>
      <c r="G147" s="69">
        <v>-18000</v>
      </c>
    </row>
    <row r="148" spans="2:7" ht="15.75">
      <c r="B148" s="68" t="s">
        <v>884</v>
      </c>
      <c r="C148" s="69" t="s">
        <v>885</v>
      </c>
      <c r="E148" s="69">
        <v>52019</v>
      </c>
      <c r="G148" s="69">
        <v>-52019</v>
      </c>
    </row>
    <row r="149" spans="2:7" ht="15.75">
      <c r="B149" s="68" t="s">
        <v>886</v>
      </c>
      <c r="C149" s="69" t="s">
        <v>887</v>
      </c>
      <c r="E149" s="69">
        <v>117490</v>
      </c>
      <c r="G149" s="69">
        <v>-117490</v>
      </c>
    </row>
    <row r="150" spans="2:7" ht="15.75">
      <c r="B150" s="68" t="s">
        <v>888</v>
      </c>
      <c r="C150" s="69" t="s">
        <v>889</v>
      </c>
      <c r="E150" s="69">
        <v>7240</v>
      </c>
      <c r="G150" s="69">
        <v>-7240</v>
      </c>
    </row>
    <row r="151" spans="2:7" ht="15.75">
      <c r="B151" s="68" t="s">
        <v>890</v>
      </c>
      <c r="C151" s="69" t="s">
        <v>891</v>
      </c>
      <c r="E151" s="69">
        <v>3703</v>
      </c>
      <c r="G151" s="69">
        <v>-3703</v>
      </c>
    </row>
    <row r="152" spans="2:7" ht="15.75">
      <c r="B152" s="68" t="s">
        <v>892</v>
      </c>
      <c r="C152" s="69" t="s">
        <v>893</v>
      </c>
      <c r="E152" s="69">
        <v>24970</v>
      </c>
      <c r="G152" s="69">
        <v>-24970</v>
      </c>
    </row>
    <row r="153" spans="2:7" ht="15.75">
      <c r="B153" s="68" t="s">
        <v>894</v>
      </c>
      <c r="C153" s="69" t="s">
        <v>895</v>
      </c>
      <c r="E153" s="69">
        <v>6991</v>
      </c>
      <c r="G153" s="69">
        <v>-6991</v>
      </c>
    </row>
    <row r="154" spans="2:7" ht="15.75">
      <c r="B154" s="68" t="s">
        <v>896</v>
      </c>
      <c r="C154" s="69" t="s">
        <v>897</v>
      </c>
      <c r="E154" s="69">
        <v>100000</v>
      </c>
      <c r="G154" s="69">
        <v>-100000</v>
      </c>
    </row>
    <row r="155" spans="2:7" ht="15.75">
      <c r="B155" s="68" t="s">
        <v>898</v>
      </c>
      <c r="C155" s="69" t="s">
        <v>899</v>
      </c>
      <c r="E155" s="69">
        <v>11746</v>
      </c>
      <c r="G155" s="69">
        <v>-11746</v>
      </c>
    </row>
    <row r="156" spans="2:7" ht="15.75">
      <c r="B156" s="68" t="s">
        <v>900</v>
      </c>
      <c r="C156" s="69" t="s">
        <v>901</v>
      </c>
      <c r="E156" s="69">
        <v>11634</v>
      </c>
      <c r="G156" s="69">
        <v>-11634</v>
      </c>
    </row>
    <row r="157" spans="2:7" ht="15.75">
      <c r="B157" s="68" t="s">
        <v>902</v>
      </c>
      <c r="C157" s="69" t="s">
        <v>903</v>
      </c>
      <c r="E157" s="69">
        <v>15522</v>
      </c>
      <c r="G157" s="69">
        <v>-14622</v>
      </c>
    </row>
    <row r="158" spans="2:7" ht="15.75">
      <c r="B158" s="68" t="s">
        <v>904</v>
      </c>
      <c r="C158" s="69" t="s">
        <v>905</v>
      </c>
      <c r="E158" s="69">
        <v>28816</v>
      </c>
      <c r="G158" s="69">
        <v>-28816</v>
      </c>
    </row>
    <row r="159" spans="2:7" ht="15.75">
      <c r="B159" s="68" t="s">
        <v>906</v>
      </c>
      <c r="C159" s="69" t="s">
        <v>907</v>
      </c>
      <c r="E159" s="69"/>
      <c r="G159" s="69">
        <v>-317</v>
      </c>
    </row>
    <row r="160" spans="2:7" ht="15.75">
      <c r="B160" s="68" t="s">
        <v>908</v>
      </c>
      <c r="C160" s="69" t="s">
        <v>838</v>
      </c>
      <c r="E160" s="69">
        <v>54500</v>
      </c>
      <c r="G160" s="69">
        <v>-4500</v>
      </c>
    </row>
    <row r="161" spans="2:7" ht="15.75">
      <c r="B161" s="68" t="s">
        <v>909</v>
      </c>
      <c r="C161" s="69" t="s">
        <v>839</v>
      </c>
      <c r="E161" s="69">
        <v>54500</v>
      </c>
      <c r="G161" s="69">
        <v>-4500</v>
      </c>
    </row>
    <row r="162" spans="2:7" ht="15.75">
      <c r="B162" s="68" t="s">
        <v>910</v>
      </c>
      <c r="C162" s="69" t="s">
        <v>911</v>
      </c>
      <c r="E162" s="69">
        <v>688</v>
      </c>
      <c r="G162" s="69">
        <v>-688</v>
      </c>
    </row>
    <row r="163" spans="2:7" ht="15.75">
      <c r="B163" s="68" t="s">
        <v>912</v>
      </c>
      <c r="C163" s="69" t="s">
        <v>913</v>
      </c>
      <c r="E163" s="69">
        <v>10396</v>
      </c>
      <c r="G163" s="69">
        <v>-10396</v>
      </c>
    </row>
    <row r="164" spans="2:7" ht="15.75">
      <c r="B164" s="68" t="s">
        <v>914</v>
      </c>
      <c r="C164" s="69" t="s">
        <v>915</v>
      </c>
      <c r="E164" s="69"/>
      <c r="G164" s="69">
        <v>-200000</v>
      </c>
    </row>
    <row r="165" spans="2:7" ht="15.75">
      <c r="B165" s="68" t="s">
        <v>916</v>
      </c>
      <c r="C165" s="69" t="s">
        <v>917</v>
      </c>
      <c r="E165" s="69">
        <v>372200.5</v>
      </c>
      <c r="G165" s="69">
        <v>-372200.5</v>
      </c>
    </row>
    <row r="166" spans="2:7" ht="15.75">
      <c r="B166" s="68" t="s">
        <v>918</v>
      </c>
      <c r="C166" s="69" t="s">
        <v>919</v>
      </c>
      <c r="E166" s="69">
        <v>308591</v>
      </c>
      <c r="G166" s="69">
        <v>-308591</v>
      </c>
    </row>
    <row r="167" spans="2:7" ht="15.75">
      <c r="B167" s="68" t="s">
        <v>920</v>
      </c>
      <c r="C167" s="69" t="s">
        <v>921</v>
      </c>
      <c r="E167" s="69">
        <v>363531</v>
      </c>
      <c r="G167" s="69">
        <v>-363531</v>
      </c>
    </row>
    <row r="168" spans="2:7" ht="15.75">
      <c r="B168" s="68" t="s">
        <v>922</v>
      </c>
      <c r="C168" s="69" t="s">
        <v>923</v>
      </c>
      <c r="E168" s="69"/>
      <c r="G168" s="69">
        <v>-955</v>
      </c>
    </row>
    <row r="169" spans="2:7" ht="15.75">
      <c r="B169" s="68" t="s">
        <v>924</v>
      </c>
      <c r="C169" s="69" t="s">
        <v>925</v>
      </c>
      <c r="E169" s="69">
        <v>15542</v>
      </c>
      <c r="G169" s="69">
        <v>-15542</v>
      </c>
    </row>
    <row r="170" spans="2:7" ht="15.75">
      <c r="B170" s="68" t="s">
        <v>926</v>
      </c>
      <c r="C170" s="69" t="s">
        <v>927</v>
      </c>
      <c r="E170" s="69">
        <v>2890</v>
      </c>
      <c r="G170" s="69">
        <v>-2890</v>
      </c>
    </row>
    <row r="171" spans="2:7" ht="15.75">
      <c r="B171" s="68" t="s">
        <v>928</v>
      </c>
      <c r="C171" s="69" t="s">
        <v>929</v>
      </c>
      <c r="E171" s="69">
        <v>11724.5</v>
      </c>
      <c r="G171" s="69">
        <v>-11724.5</v>
      </c>
    </row>
    <row r="172" spans="2:7" ht="15.75">
      <c r="B172" s="68" t="s">
        <v>930</v>
      </c>
      <c r="C172" s="69" t="s">
        <v>931</v>
      </c>
      <c r="E172" s="69">
        <v>85747</v>
      </c>
      <c r="G172" s="69">
        <v>-121463</v>
      </c>
    </row>
    <row r="173" spans="2:7" ht="15.75">
      <c r="B173" s="68" t="s">
        <v>932</v>
      </c>
      <c r="C173" s="69" t="s">
        <v>933</v>
      </c>
      <c r="E173" s="69">
        <v>1542.13</v>
      </c>
      <c r="G173" s="69">
        <v>-1542.13</v>
      </c>
    </row>
    <row r="174" spans="2:7" ht="15.75">
      <c r="B174" s="68" t="s">
        <v>934</v>
      </c>
      <c r="C174" s="69" t="s">
        <v>935</v>
      </c>
      <c r="E174" s="69">
        <v>742</v>
      </c>
      <c r="G174" s="69">
        <v>-742</v>
      </c>
    </row>
    <row r="175" spans="2:7" ht="15.75">
      <c r="B175" s="68" t="s">
        <v>936</v>
      </c>
      <c r="C175" s="69" t="s">
        <v>937</v>
      </c>
      <c r="E175" s="69">
        <v>17018</v>
      </c>
      <c r="G175" s="69">
        <v>-16500</v>
      </c>
    </row>
    <row r="176" spans="2:7" ht="15.75">
      <c r="B176" s="68" t="s">
        <v>938</v>
      </c>
      <c r="C176" s="69" t="s">
        <v>939</v>
      </c>
      <c r="E176" s="69">
        <v>3595</v>
      </c>
      <c r="G176" s="69">
        <v>-3595</v>
      </c>
    </row>
    <row r="177" spans="2:7" ht="15.75">
      <c r="B177" s="68" t="s">
        <v>940</v>
      </c>
      <c r="C177" s="69" t="s">
        <v>941</v>
      </c>
      <c r="E177" s="69">
        <v>2994</v>
      </c>
      <c r="G177" s="69">
        <v>-2994</v>
      </c>
    </row>
    <row r="178" spans="2:7" ht="15.75">
      <c r="B178" s="68" t="s">
        <v>942</v>
      </c>
      <c r="C178" s="69" t="s">
        <v>943</v>
      </c>
      <c r="E178" s="69">
        <v>30605</v>
      </c>
      <c r="G178" s="69">
        <v>-30605</v>
      </c>
    </row>
    <row r="179" spans="2:7" ht="15.75">
      <c r="B179" s="68" t="s">
        <v>944</v>
      </c>
      <c r="C179" s="69" t="s">
        <v>945</v>
      </c>
      <c r="E179" s="69">
        <v>2204</v>
      </c>
      <c r="G179" s="69">
        <v>-2204</v>
      </c>
    </row>
    <row r="180" spans="2:7" ht="15.75">
      <c r="B180" s="68" t="s">
        <v>946</v>
      </c>
      <c r="C180" s="69" t="s">
        <v>947</v>
      </c>
      <c r="E180" s="69">
        <v>348809</v>
      </c>
      <c r="G180" s="69">
        <v>-348809</v>
      </c>
    </row>
    <row r="181" spans="2:7" ht="15.75">
      <c r="B181" s="68" t="s">
        <v>948</v>
      </c>
      <c r="C181" s="69" t="s">
        <v>949</v>
      </c>
      <c r="E181" s="69">
        <v>6850</v>
      </c>
      <c r="G181" s="69">
        <v>-6850</v>
      </c>
    </row>
    <row r="182" spans="2:7" ht="15.75">
      <c r="B182" s="68" t="s">
        <v>950</v>
      </c>
      <c r="C182" s="69" t="s">
        <v>951</v>
      </c>
      <c r="E182" s="69">
        <v>675</v>
      </c>
      <c r="G182" s="69">
        <v>-675</v>
      </c>
    </row>
    <row r="183" spans="2:5" ht="15.75">
      <c r="B183" s="68" t="s">
        <v>952</v>
      </c>
      <c r="C183" s="69" t="s">
        <v>953</v>
      </c>
      <c r="E183" s="69">
        <v>938</v>
      </c>
    </row>
    <row r="184" spans="2:7" ht="15.75">
      <c r="B184" s="68" t="s">
        <v>954</v>
      </c>
      <c r="C184" s="69" t="s">
        <v>955</v>
      </c>
      <c r="E184" s="69">
        <v>41111</v>
      </c>
      <c r="G184" s="69">
        <v>-41111</v>
      </c>
    </row>
    <row r="185" spans="2:7" ht="15.75">
      <c r="B185" s="68" t="s">
        <v>956</v>
      </c>
      <c r="C185" s="69" t="s">
        <v>957</v>
      </c>
      <c r="E185" s="69">
        <v>8987</v>
      </c>
      <c r="G185" s="69">
        <v>-8987</v>
      </c>
    </row>
    <row r="186" spans="2:7" ht="15.75">
      <c r="B186" s="68" t="s">
        <v>958</v>
      </c>
      <c r="C186" s="69" t="s">
        <v>959</v>
      </c>
      <c r="E186" s="69">
        <v>170000.21</v>
      </c>
      <c r="G186" s="69">
        <v>-170000.21</v>
      </c>
    </row>
    <row r="187" spans="2:7" ht="15.75">
      <c r="B187" s="68" t="s">
        <v>960</v>
      </c>
      <c r="C187" s="69" t="s">
        <v>961</v>
      </c>
      <c r="E187" s="69">
        <v>51367</v>
      </c>
      <c r="G187" s="69">
        <v>-51367</v>
      </c>
    </row>
    <row r="188" spans="2:7" ht="15.75">
      <c r="B188" s="68" t="s">
        <v>962</v>
      </c>
      <c r="C188" s="69" t="s">
        <v>963</v>
      </c>
      <c r="E188" s="69">
        <v>114098</v>
      </c>
      <c r="G188" s="69">
        <v>-106970</v>
      </c>
    </row>
    <row r="189" spans="2:7" ht="15.75">
      <c r="B189" s="68" t="s">
        <v>964</v>
      </c>
      <c r="C189" s="69" t="s">
        <v>965</v>
      </c>
      <c r="E189" s="69">
        <v>43281.12</v>
      </c>
      <c r="G189" s="69">
        <v>-43281.12</v>
      </c>
    </row>
    <row r="190" spans="2:7" ht="15.75">
      <c r="B190" s="68" t="s">
        <v>966</v>
      </c>
      <c r="C190" s="69" t="s">
        <v>875</v>
      </c>
      <c r="E190" s="69">
        <v>6457.5</v>
      </c>
      <c r="G190" s="69">
        <v>-6457.5</v>
      </c>
    </row>
    <row r="191" spans="2:7" ht="15.75">
      <c r="B191" s="68" t="s">
        <v>967</v>
      </c>
      <c r="C191" s="69" t="s">
        <v>968</v>
      </c>
      <c r="E191" s="69"/>
      <c r="G191" s="69">
        <v>-20576</v>
      </c>
    </row>
    <row r="192" spans="2:7" ht="15.75">
      <c r="B192" s="68" t="s">
        <v>969</v>
      </c>
      <c r="C192" s="69" t="s">
        <v>970</v>
      </c>
      <c r="E192" s="69">
        <v>70602</v>
      </c>
      <c r="G192" s="69">
        <v>-228</v>
      </c>
    </row>
    <row r="193" spans="2:7" ht="15.75">
      <c r="B193" s="68" t="s">
        <v>971</v>
      </c>
      <c r="C193" s="69" t="s">
        <v>972</v>
      </c>
      <c r="E193" s="69">
        <v>135714</v>
      </c>
      <c r="G193" s="69">
        <v>-135714</v>
      </c>
    </row>
    <row r="194" spans="2:7" ht="15.75">
      <c r="B194" s="68" t="s">
        <v>973</v>
      </c>
      <c r="C194" s="69" t="s">
        <v>974</v>
      </c>
      <c r="E194" s="69">
        <v>6900</v>
      </c>
      <c r="G194" s="69">
        <v>-6900</v>
      </c>
    </row>
    <row r="195" spans="2:7" ht="15.75">
      <c r="B195" s="68" t="s">
        <v>975</v>
      </c>
      <c r="C195" s="69" t="s">
        <v>976</v>
      </c>
      <c r="E195" s="69">
        <v>3026</v>
      </c>
      <c r="G195" s="69">
        <v>-3026</v>
      </c>
    </row>
    <row r="196" spans="2:7" ht="15.75">
      <c r="B196" s="68" t="s">
        <v>977</v>
      </c>
      <c r="C196" s="69" t="s">
        <v>978</v>
      </c>
      <c r="E196" s="69"/>
      <c r="G196" s="69">
        <v>-966836</v>
      </c>
    </row>
    <row r="197" spans="2:7" ht="15.75">
      <c r="B197" s="68" t="s">
        <v>979</v>
      </c>
      <c r="C197" s="69" t="s">
        <v>980</v>
      </c>
      <c r="E197" s="69">
        <v>1281</v>
      </c>
      <c r="G197" s="69">
        <v>-1281</v>
      </c>
    </row>
    <row r="198" spans="2:7" ht="15.75">
      <c r="B198" s="68" t="s">
        <v>981</v>
      </c>
      <c r="C198" s="69" t="s">
        <v>982</v>
      </c>
      <c r="E198" s="69"/>
      <c r="G198" s="69">
        <v>-78678</v>
      </c>
    </row>
    <row r="199" spans="2:7" ht="15.75">
      <c r="B199" s="68" t="s">
        <v>619</v>
      </c>
      <c r="C199" s="69" t="s">
        <v>620</v>
      </c>
      <c r="E199" s="69">
        <v>23044</v>
      </c>
      <c r="G199" s="69">
        <v>-161681</v>
      </c>
    </row>
    <row r="200" spans="2:7" ht="15.75">
      <c r="B200" s="68" t="s">
        <v>983</v>
      </c>
      <c r="C200" s="69" t="s">
        <v>984</v>
      </c>
      <c r="E200" s="69">
        <v>1942</v>
      </c>
      <c r="G200" s="69">
        <v>-1942</v>
      </c>
    </row>
    <row r="201" spans="2:7" ht="15.75">
      <c r="B201" s="68" t="s">
        <v>985</v>
      </c>
      <c r="C201" s="69" t="s">
        <v>986</v>
      </c>
      <c r="E201" s="69">
        <v>4552</v>
      </c>
      <c r="G201" s="69">
        <v>-4552</v>
      </c>
    </row>
    <row r="202" spans="2:7" ht="15.75">
      <c r="B202" s="68" t="s">
        <v>987</v>
      </c>
      <c r="C202" s="69" t="s">
        <v>988</v>
      </c>
      <c r="E202" s="69">
        <v>2325</v>
      </c>
      <c r="G202" s="69">
        <v>-2325</v>
      </c>
    </row>
    <row r="203" spans="2:7" ht="15.75">
      <c r="B203" s="68" t="s">
        <v>989</v>
      </c>
      <c r="C203" s="69" t="s">
        <v>990</v>
      </c>
      <c r="E203" s="69">
        <v>18063</v>
      </c>
      <c r="G203" s="69">
        <v>-18063</v>
      </c>
    </row>
    <row r="204" spans="2:7" ht="15.75">
      <c r="B204" s="68" t="s">
        <v>991</v>
      </c>
      <c r="C204" s="69" t="s">
        <v>992</v>
      </c>
      <c r="E204" s="69">
        <v>1623101</v>
      </c>
      <c r="G204" s="69">
        <v>0</v>
      </c>
    </row>
    <row r="205" spans="2:7" ht="15.75">
      <c r="B205" s="68" t="s">
        <v>993</v>
      </c>
      <c r="C205" s="69" t="s">
        <v>473</v>
      </c>
      <c r="E205" s="69">
        <v>5667</v>
      </c>
      <c r="G205" s="69">
        <v>-5667</v>
      </c>
    </row>
    <row r="206" spans="2:7" ht="15.75">
      <c r="B206" s="68" t="s">
        <v>994</v>
      </c>
      <c r="C206" s="69" t="s">
        <v>995</v>
      </c>
      <c r="E206" s="69">
        <v>2481</v>
      </c>
      <c r="G206" s="69">
        <v>-2481</v>
      </c>
    </row>
    <row r="207" spans="2:7" ht="15.75">
      <c r="B207" s="68" t="s">
        <v>996</v>
      </c>
      <c r="C207" s="69" t="s">
        <v>997</v>
      </c>
      <c r="E207" s="69">
        <v>176688</v>
      </c>
      <c r="G207" s="69">
        <v>-176688</v>
      </c>
    </row>
    <row r="208" spans="2:7" ht="15.75">
      <c r="B208" s="68" t="s">
        <v>998</v>
      </c>
      <c r="C208" s="69" t="s">
        <v>999</v>
      </c>
      <c r="E208" s="69">
        <v>191954</v>
      </c>
      <c r="G208" s="69">
        <v>-191954</v>
      </c>
    </row>
    <row r="209" spans="2:7" ht="15.75">
      <c r="B209" s="68" t="s">
        <v>1000</v>
      </c>
      <c r="C209" s="69" t="s">
        <v>1001</v>
      </c>
      <c r="E209" s="69">
        <v>10060</v>
      </c>
      <c r="G209" s="69">
        <v>-10060</v>
      </c>
    </row>
    <row r="210" spans="2:7" ht="15.75">
      <c r="B210" s="68" t="s">
        <v>1002</v>
      </c>
      <c r="C210" s="69" t="s">
        <v>1003</v>
      </c>
      <c r="E210" s="69">
        <v>20966</v>
      </c>
      <c r="G210" s="69">
        <v>-20966</v>
      </c>
    </row>
    <row r="211" spans="2:7" ht="15.75">
      <c r="B211" s="68" t="s">
        <v>1004</v>
      </c>
      <c r="C211" s="69" t="s">
        <v>1005</v>
      </c>
      <c r="E211" s="69">
        <v>2777725.9</v>
      </c>
      <c r="G211" s="69">
        <v>-2777725.9</v>
      </c>
    </row>
    <row r="212" spans="2:7" ht="15.75">
      <c r="B212" s="68" t="s">
        <v>1006</v>
      </c>
      <c r="C212" s="69" t="s">
        <v>1007</v>
      </c>
      <c r="E212" s="69">
        <v>20000</v>
      </c>
      <c r="G212" s="69">
        <v>-20000</v>
      </c>
    </row>
    <row r="213" spans="2:7" ht="15.75">
      <c r="B213" s="68" t="s">
        <v>628</v>
      </c>
      <c r="C213" s="69" t="s">
        <v>629</v>
      </c>
      <c r="E213" s="69">
        <v>0</v>
      </c>
      <c r="G213" s="69">
        <v>-505712</v>
      </c>
    </row>
    <row r="214" spans="2:7" ht="15.75">
      <c r="B214" s="68" t="s">
        <v>632</v>
      </c>
      <c r="C214" s="69" t="s">
        <v>633</v>
      </c>
      <c r="E214" s="69"/>
      <c r="G214" s="69">
        <v>-2437273</v>
      </c>
    </row>
    <row r="215" spans="2:7" ht="15.75">
      <c r="B215" s="68" t="s">
        <v>1008</v>
      </c>
      <c r="C215" s="69" t="s">
        <v>1009</v>
      </c>
      <c r="E215" s="69">
        <v>10667</v>
      </c>
      <c r="G215" s="69">
        <v>-10667</v>
      </c>
    </row>
    <row r="216" spans="2:5" ht="15.75">
      <c r="B216" s="68" t="s">
        <v>634</v>
      </c>
      <c r="C216" s="69" t="s">
        <v>635</v>
      </c>
      <c r="E216" s="69">
        <v>1551269</v>
      </c>
    </row>
    <row r="217" spans="2:7" ht="15.75">
      <c r="B217" s="68" t="s">
        <v>1010</v>
      </c>
      <c r="C217" s="69" t="s">
        <v>1011</v>
      </c>
      <c r="E217" s="69">
        <v>32513</v>
      </c>
      <c r="G217" s="69">
        <v>-1999685</v>
      </c>
    </row>
    <row r="218" spans="2:7" ht="15.75">
      <c r="B218" s="68" t="s">
        <v>1012</v>
      </c>
      <c r="C218" s="69" t="s">
        <v>1013</v>
      </c>
      <c r="E218" s="69">
        <v>7282</v>
      </c>
      <c r="G218" s="69">
        <v>-7282</v>
      </c>
    </row>
    <row r="219" spans="2:7" ht="15.75">
      <c r="B219" s="68" t="s">
        <v>1014</v>
      </c>
      <c r="C219" s="69" t="s">
        <v>1015</v>
      </c>
      <c r="E219" s="69">
        <v>100011</v>
      </c>
      <c r="G219" s="69">
        <v>-826147</v>
      </c>
    </row>
    <row r="220" spans="2:7" ht="15.75">
      <c r="B220" s="68" t="s">
        <v>1016</v>
      </c>
      <c r="C220" s="69" t="s">
        <v>1017</v>
      </c>
      <c r="E220" s="69">
        <v>7636.03</v>
      </c>
      <c r="G220" s="69">
        <v>-7636.03</v>
      </c>
    </row>
    <row r="221" spans="2:7" ht="15.75">
      <c r="B221" s="68" t="s">
        <v>1018</v>
      </c>
      <c r="C221" s="69" t="s">
        <v>1019</v>
      </c>
      <c r="E221" s="69"/>
      <c r="G221" s="69">
        <v>-1080</v>
      </c>
    </row>
    <row r="222" spans="2:7" ht="15.75">
      <c r="B222" s="68" t="s">
        <v>1020</v>
      </c>
      <c r="C222" s="69" t="s">
        <v>1021</v>
      </c>
      <c r="E222" s="69"/>
      <c r="G222" s="69">
        <v>-2361488</v>
      </c>
    </row>
    <row r="223" spans="2:7" ht="15.75">
      <c r="B223" s="68" t="s">
        <v>1022</v>
      </c>
      <c r="C223" s="69" t="s">
        <v>1023</v>
      </c>
      <c r="E223" s="69">
        <v>7201230</v>
      </c>
      <c r="G223" s="69">
        <v>-5400000</v>
      </c>
    </row>
    <row r="224" spans="2:7" ht="15.75">
      <c r="B224" s="68" t="s">
        <v>1024</v>
      </c>
      <c r="C224" s="69" t="s">
        <v>1025</v>
      </c>
      <c r="E224" s="69">
        <v>237576</v>
      </c>
      <c r="G224" s="69">
        <v>-237576</v>
      </c>
    </row>
    <row r="225" spans="2:7" ht="15.75">
      <c r="B225" s="68" t="s">
        <v>646</v>
      </c>
      <c r="C225" s="69" t="s">
        <v>1026</v>
      </c>
      <c r="E225" s="69"/>
      <c r="G225" s="69">
        <v>-26824</v>
      </c>
    </row>
    <row r="226" spans="2:7" ht="15.75">
      <c r="B226" s="68" t="s">
        <v>1027</v>
      </c>
      <c r="C226" s="69" t="s">
        <v>1028</v>
      </c>
      <c r="E226" s="69">
        <v>683498.12</v>
      </c>
      <c r="G226" s="69">
        <v>-683498.12</v>
      </c>
    </row>
    <row r="227" spans="2:7" ht="15.75">
      <c r="B227" s="68" t="s">
        <v>1029</v>
      </c>
      <c r="C227" s="69" t="s">
        <v>1030</v>
      </c>
      <c r="E227" s="69">
        <v>0</v>
      </c>
      <c r="G227" s="69">
        <v>-862929</v>
      </c>
    </row>
    <row r="228" spans="2:5" ht="15.75">
      <c r="B228" s="68" t="s">
        <v>650</v>
      </c>
      <c r="C228" s="69" t="s">
        <v>651</v>
      </c>
      <c r="E228" s="69">
        <v>697512</v>
      </c>
    </row>
    <row r="229" spans="2:5" ht="15.75">
      <c r="B229" s="68" t="s">
        <v>1031</v>
      </c>
      <c r="C229" s="69" t="s">
        <v>1032</v>
      </c>
      <c r="E229" s="69">
        <v>7679</v>
      </c>
    </row>
    <row r="230" spans="2:7" ht="15.75">
      <c r="B230" s="68" t="s">
        <v>1033</v>
      </c>
      <c r="C230" s="69" t="s">
        <v>1034</v>
      </c>
      <c r="E230" s="69">
        <v>589</v>
      </c>
      <c r="G230" s="69">
        <v>-589</v>
      </c>
    </row>
    <row r="231" spans="2:7" ht="15.75">
      <c r="B231" s="68" t="s">
        <v>1035</v>
      </c>
      <c r="C231" s="69" t="s">
        <v>1036</v>
      </c>
      <c r="E231" s="69"/>
      <c r="G231" s="69">
        <v>-65740</v>
      </c>
    </row>
    <row r="232" spans="2:7" ht="15.75">
      <c r="B232" s="68" t="s">
        <v>1037</v>
      </c>
      <c r="C232" s="69" t="s">
        <v>1038</v>
      </c>
      <c r="E232" s="69">
        <v>29630</v>
      </c>
      <c r="G232" s="69">
        <v>-29630</v>
      </c>
    </row>
    <row r="233" spans="2:8" ht="15.75">
      <c r="B233" s="157" t="s">
        <v>652</v>
      </c>
      <c r="C233" s="158" t="s">
        <v>653</v>
      </c>
      <c r="D233" s="158"/>
      <c r="E233" s="158">
        <v>0</v>
      </c>
      <c r="H233" s="69">
        <v>23820213</v>
      </c>
    </row>
    <row r="234" spans="2:8" ht="15.75">
      <c r="B234" s="68" t="s">
        <v>1039</v>
      </c>
      <c r="C234" s="69" t="s">
        <v>1040</v>
      </c>
      <c r="E234" s="69"/>
      <c r="G234" s="69">
        <v>-6181129</v>
      </c>
      <c r="H234" s="69">
        <f>H233-E233</f>
        <v>23820213</v>
      </c>
    </row>
    <row r="235" spans="2:7" ht="15.75">
      <c r="B235" s="68" t="s">
        <v>1041</v>
      </c>
      <c r="C235" s="69" t="s">
        <v>1042</v>
      </c>
      <c r="E235" s="69"/>
      <c r="G235" s="69">
        <v>-4658</v>
      </c>
    </row>
    <row r="236" spans="2:7" ht="15.75">
      <c r="B236" s="68" t="s">
        <v>1043</v>
      </c>
      <c r="C236" s="69" t="s">
        <v>1044</v>
      </c>
      <c r="E236" s="69">
        <v>310</v>
      </c>
      <c r="G236" s="69">
        <v>-305139</v>
      </c>
    </row>
    <row r="237" spans="2:7" ht="15.75">
      <c r="B237" s="68" t="s">
        <v>1045</v>
      </c>
      <c r="C237" s="69" t="s">
        <v>1046</v>
      </c>
      <c r="E237" s="69">
        <v>32367</v>
      </c>
      <c r="G237" s="69">
        <v>-2385847</v>
      </c>
    </row>
    <row r="238" spans="2:5" ht="15.75">
      <c r="B238" s="68" t="s">
        <v>1047</v>
      </c>
      <c r="C238" s="69" t="s">
        <v>1048</v>
      </c>
      <c r="E238" s="69">
        <v>1640029</v>
      </c>
    </row>
    <row r="239" spans="2:5" ht="15.75">
      <c r="B239" s="68" t="s">
        <v>1049</v>
      </c>
      <c r="C239" s="69" t="s">
        <v>1050</v>
      </c>
      <c r="E239" s="69">
        <v>903054</v>
      </c>
    </row>
    <row r="240" spans="2:7" ht="15.75">
      <c r="B240" s="68" t="s">
        <v>1051</v>
      </c>
      <c r="C240" s="69" t="s">
        <v>1052</v>
      </c>
      <c r="E240" s="69">
        <v>8828</v>
      </c>
      <c r="G240" s="69">
        <v>-8828</v>
      </c>
    </row>
    <row r="241" spans="2:7" ht="15.75">
      <c r="B241" s="68" t="s">
        <v>1053</v>
      </c>
      <c r="C241" s="69" t="s">
        <v>1054</v>
      </c>
      <c r="E241" s="69">
        <v>950</v>
      </c>
      <c r="G241" s="69">
        <v>-950</v>
      </c>
    </row>
    <row r="242" spans="2:7" ht="15.75">
      <c r="B242" s="68" t="s">
        <v>1055</v>
      </c>
      <c r="C242" s="69" t="s">
        <v>1056</v>
      </c>
      <c r="E242" s="69">
        <v>456202</v>
      </c>
      <c r="G242" s="69">
        <v>-456202</v>
      </c>
    </row>
    <row r="243" spans="2:7" ht="15.75">
      <c r="B243" s="68" t="s">
        <v>1057</v>
      </c>
      <c r="C243" s="69" t="s">
        <v>1058</v>
      </c>
      <c r="E243" s="69">
        <v>235366</v>
      </c>
      <c r="G243" s="69">
        <v>-235366</v>
      </c>
    </row>
    <row r="244" spans="2:7" ht="15.75">
      <c r="B244" s="68" t="s">
        <v>1059</v>
      </c>
      <c r="C244" s="69" t="s">
        <v>1060</v>
      </c>
      <c r="E244" s="69">
        <v>1349495.74</v>
      </c>
      <c r="G244" s="69">
        <v>-1349495.74</v>
      </c>
    </row>
    <row r="245" spans="2:9" ht="15.75">
      <c r="B245" s="68" t="s">
        <v>656</v>
      </c>
      <c r="C245" s="69" t="s">
        <v>657</v>
      </c>
      <c r="E245" s="69">
        <v>147044</v>
      </c>
      <c r="G245" s="69">
        <v>-345106</v>
      </c>
      <c r="I245" s="381"/>
    </row>
    <row r="246" spans="2:7" ht="15.75">
      <c r="B246" s="68" t="s">
        <v>658</v>
      </c>
      <c r="C246" s="69" t="s">
        <v>659</v>
      </c>
      <c r="E246" s="69">
        <v>0</v>
      </c>
      <c r="G246" s="69">
        <v>-363398</v>
      </c>
    </row>
    <row r="247" spans="2:7" ht="15.75">
      <c r="B247" s="68" t="s">
        <v>1061</v>
      </c>
      <c r="C247" s="69" t="s">
        <v>1062</v>
      </c>
      <c r="E247" s="69">
        <v>627338</v>
      </c>
      <c r="G247" s="69">
        <v>-317920</v>
      </c>
    </row>
    <row r="248" spans="2:7" ht="15.75">
      <c r="B248" s="68" t="s">
        <v>1063</v>
      </c>
      <c r="C248" s="69" t="s">
        <v>1064</v>
      </c>
      <c r="E248" s="69">
        <v>51613</v>
      </c>
      <c r="G248" s="69">
        <v>-51613</v>
      </c>
    </row>
    <row r="249" spans="2:7" ht="15.75">
      <c r="B249" s="68" t="s">
        <v>1065</v>
      </c>
      <c r="C249" s="69" t="s">
        <v>1066</v>
      </c>
      <c r="E249" s="69">
        <v>40678</v>
      </c>
      <c r="G249" s="69">
        <v>-40678</v>
      </c>
    </row>
    <row r="250" spans="2:7" ht="15.75">
      <c r="B250" s="68" t="s">
        <v>1067</v>
      </c>
      <c r="C250" s="69" t="s">
        <v>1068</v>
      </c>
      <c r="E250" s="69">
        <v>283196</v>
      </c>
      <c r="G250" s="69">
        <v>-283196</v>
      </c>
    </row>
    <row r="251" spans="2:7" ht="15.75">
      <c r="B251" s="68" t="s">
        <v>1069</v>
      </c>
      <c r="C251" s="69" t="s">
        <v>1070</v>
      </c>
      <c r="E251" s="69">
        <v>174000</v>
      </c>
      <c r="G251" s="69">
        <v>-174000</v>
      </c>
    </row>
    <row r="252" spans="2:7" ht="15.75">
      <c r="B252" s="68" t="s">
        <v>1071</v>
      </c>
      <c r="C252" s="69" t="s">
        <v>1072</v>
      </c>
      <c r="E252" s="69">
        <v>1000</v>
      </c>
      <c r="G252" s="69">
        <v>-1000</v>
      </c>
    </row>
    <row r="253" spans="2:7" ht="15.75">
      <c r="B253" s="68" t="s">
        <v>1073</v>
      </c>
      <c r="C253" s="69" t="s">
        <v>1074</v>
      </c>
      <c r="E253" s="69">
        <v>424417</v>
      </c>
      <c r="G253" s="69">
        <v>-424417</v>
      </c>
    </row>
    <row r="254" spans="2:7" ht="15.75">
      <c r="B254" s="68" t="s">
        <v>1075</v>
      </c>
      <c r="C254" s="69" t="s">
        <v>1076</v>
      </c>
      <c r="E254" s="69">
        <v>15793</v>
      </c>
      <c r="G254" s="69">
        <v>-15793</v>
      </c>
    </row>
    <row r="255" spans="2:7" ht="15.75">
      <c r="B255" s="68" t="s">
        <v>1077</v>
      </c>
      <c r="C255" s="69" t="s">
        <v>1078</v>
      </c>
      <c r="E255" s="69">
        <v>240000</v>
      </c>
      <c r="G255" s="69">
        <v>-240000</v>
      </c>
    </row>
    <row r="256" spans="2:7" ht="15.75">
      <c r="B256" s="68" t="s">
        <v>1079</v>
      </c>
      <c r="C256" s="69" t="s">
        <v>1080</v>
      </c>
      <c r="E256" s="69">
        <v>10736</v>
      </c>
      <c r="G256" s="69">
        <v>-10736</v>
      </c>
    </row>
    <row r="257" spans="2:7" ht="15.75">
      <c r="B257" s="68" t="s">
        <v>1081</v>
      </c>
      <c r="C257" s="69" t="s">
        <v>1082</v>
      </c>
      <c r="E257" s="69">
        <v>1608062</v>
      </c>
      <c r="G257" s="69">
        <v>-1608062</v>
      </c>
    </row>
    <row r="258" spans="2:7" ht="15.75">
      <c r="B258" s="68" t="s">
        <v>1083</v>
      </c>
      <c r="C258" s="69" t="s">
        <v>1084</v>
      </c>
      <c r="E258" s="69">
        <v>515395.4</v>
      </c>
      <c r="G258" s="69">
        <v>-515395.4</v>
      </c>
    </row>
    <row r="259" spans="2:7" ht="15.75">
      <c r="B259" s="68" t="s">
        <v>1085</v>
      </c>
      <c r="C259" s="69" t="s">
        <v>1086</v>
      </c>
      <c r="E259" s="69">
        <v>270986</v>
      </c>
      <c r="G259" s="69">
        <v>-270986</v>
      </c>
    </row>
    <row r="260" spans="2:7" ht="15.75">
      <c r="B260" s="68" t="s">
        <v>1087</v>
      </c>
      <c r="C260" s="69" t="s">
        <v>1088</v>
      </c>
      <c r="E260" s="69">
        <v>397035</v>
      </c>
      <c r="G260" s="69">
        <v>-609195</v>
      </c>
    </row>
    <row r="261" spans="2:7" ht="15.75">
      <c r="B261" s="68" t="s">
        <v>1089</v>
      </c>
      <c r="C261" s="69" t="s">
        <v>1090</v>
      </c>
      <c r="E261" s="69">
        <v>1032</v>
      </c>
      <c r="G261" s="69">
        <v>-1032</v>
      </c>
    </row>
    <row r="262" spans="2:7" ht="15.75">
      <c r="B262" s="68" t="s">
        <v>1091</v>
      </c>
      <c r="C262" s="69" t="s">
        <v>1092</v>
      </c>
      <c r="E262" s="69">
        <v>47697</v>
      </c>
      <c r="G262" s="69">
        <v>-47697</v>
      </c>
    </row>
    <row r="263" spans="2:7" ht="15.75">
      <c r="B263" s="68" t="s">
        <v>1093</v>
      </c>
      <c r="C263" s="69" t="s">
        <v>1094</v>
      </c>
      <c r="E263" s="69">
        <v>140505</v>
      </c>
      <c r="G263" s="69">
        <v>-122837</v>
      </c>
    </row>
    <row r="264" spans="2:7" ht="15.75">
      <c r="B264" s="68" t="s">
        <v>1095</v>
      </c>
      <c r="C264" s="69" t="s">
        <v>1096</v>
      </c>
      <c r="E264" s="69">
        <v>9757.8</v>
      </c>
      <c r="G264" s="69">
        <v>-9757.8</v>
      </c>
    </row>
    <row r="265" spans="2:7" ht="15.75">
      <c r="B265" s="68" t="s">
        <v>1097</v>
      </c>
      <c r="C265" s="69" t="s">
        <v>1098</v>
      </c>
      <c r="E265" s="69">
        <v>87648</v>
      </c>
      <c r="G265" s="69">
        <v>-87648</v>
      </c>
    </row>
    <row r="266" spans="2:7" ht="15.75">
      <c r="B266" s="68" t="s">
        <v>1099</v>
      </c>
      <c r="C266" s="69" t="s">
        <v>1100</v>
      </c>
      <c r="E266" s="69">
        <v>767270</v>
      </c>
      <c r="G266" s="69">
        <v>-767270</v>
      </c>
    </row>
    <row r="267" spans="2:7" ht="15.75">
      <c r="B267" s="68" t="s">
        <v>1101</v>
      </c>
      <c r="C267" s="69" t="s">
        <v>1102</v>
      </c>
      <c r="E267" s="69">
        <v>25620</v>
      </c>
      <c r="G267" s="69">
        <v>-25620</v>
      </c>
    </row>
    <row r="268" spans="2:7" ht="15.75">
      <c r="B268" s="68" t="s">
        <v>1103</v>
      </c>
      <c r="C268" s="69" t="s">
        <v>1104</v>
      </c>
      <c r="E268" s="69">
        <v>145452</v>
      </c>
      <c r="G268" s="69">
        <v>-158100</v>
      </c>
    </row>
    <row r="269" spans="2:7" ht="15.75">
      <c r="B269" s="68" t="s">
        <v>1105</v>
      </c>
      <c r="C269" s="69" t="s">
        <v>1106</v>
      </c>
      <c r="E269" s="69">
        <v>2280</v>
      </c>
      <c r="G269" s="69">
        <v>-2280</v>
      </c>
    </row>
    <row r="270" spans="2:7" ht="15.75">
      <c r="B270" s="68" t="s">
        <v>1107</v>
      </c>
      <c r="C270" s="69" t="s">
        <v>1108</v>
      </c>
      <c r="E270" s="69">
        <v>51506</v>
      </c>
      <c r="G270" s="69">
        <v>-51506</v>
      </c>
    </row>
    <row r="271" spans="2:7" ht="15.75">
      <c r="B271" s="68" t="s">
        <v>664</v>
      </c>
      <c r="C271" s="69" t="s">
        <v>665</v>
      </c>
      <c r="E271" s="69">
        <v>1000</v>
      </c>
      <c r="G271" s="69">
        <v>-5990</v>
      </c>
    </row>
    <row r="272" spans="2:7" ht="15.75">
      <c r="B272" s="68" t="s">
        <v>1109</v>
      </c>
      <c r="C272" s="69" t="s">
        <v>1110</v>
      </c>
      <c r="E272" s="69">
        <v>8033.6</v>
      </c>
      <c r="G272" s="69">
        <v>-8033.6</v>
      </c>
    </row>
    <row r="273" spans="2:5" ht="15.75">
      <c r="B273" s="68" t="s">
        <v>1111</v>
      </c>
      <c r="C273" s="69" t="s">
        <v>1112</v>
      </c>
      <c r="E273" s="69">
        <v>24755.5</v>
      </c>
    </row>
    <row r="274" spans="2:7" ht="15.75">
      <c r="B274" s="68" t="s">
        <v>1113</v>
      </c>
      <c r="C274" s="69" t="s">
        <v>1114</v>
      </c>
      <c r="E274" s="69"/>
      <c r="G274" s="69">
        <v>-27825</v>
      </c>
    </row>
    <row r="275" spans="2:7" ht="15.75">
      <c r="B275" s="68" t="s">
        <v>1115</v>
      </c>
      <c r="C275" s="69" t="s">
        <v>1116</v>
      </c>
      <c r="E275" s="69">
        <v>86170</v>
      </c>
      <c r="G275" s="69">
        <v>-86170</v>
      </c>
    </row>
    <row r="276" spans="2:5" ht="15.75">
      <c r="B276" s="68" t="s">
        <v>1117</v>
      </c>
      <c r="C276" s="69" t="s">
        <v>1118</v>
      </c>
      <c r="E276" s="69">
        <v>347444</v>
      </c>
    </row>
    <row r="277" spans="2:7" ht="15.75">
      <c r="B277" s="68" t="s">
        <v>1119</v>
      </c>
      <c r="C277" s="69" t="s">
        <v>1120</v>
      </c>
      <c r="E277" s="69">
        <v>97514</v>
      </c>
      <c r="G277" s="69">
        <v>-192918</v>
      </c>
    </row>
    <row r="278" spans="2:7" ht="15.75">
      <c r="B278" s="68" t="s">
        <v>1121</v>
      </c>
      <c r="C278" s="69" t="s">
        <v>1122</v>
      </c>
      <c r="E278" s="69">
        <v>396079</v>
      </c>
      <c r="G278" s="69">
        <v>-396079</v>
      </c>
    </row>
    <row r="279" spans="2:7" ht="15.75">
      <c r="B279" s="68" t="s">
        <v>1123</v>
      </c>
      <c r="C279" s="69" t="s">
        <v>1124</v>
      </c>
      <c r="E279" s="69">
        <v>39315</v>
      </c>
      <c r="G279" s="69">
        <v>-39315</v>
      </c>
    </row>
    <row r="280" spans="2:7" ht="15.75">
      <c r="B280" s="68" t="s">
        <v>1125</v>
      </c>
      <c r="C280" s="69" t="s">
        <v>1126</v>
      </c>
      <c r="E280" s="69">
        <v>9228</v>
      </c>
      <c r="G280" s="69">
        <v>-9228</v>
      </c>
    </row>
    <row r="281" spans="2:7" ht="15.75">
      <c r="B281" s="68" t="s">
        <v>1127</v>
      </c>
      <c r="C281" s="69" t="s">
        <v>1128</v>
      </c>
      <c r="E281" s="69">
        <v>8750</v>
      </c>
      <c r="G281" s="69">
        <v>-8750</v>
      </c>
    </row>
    <row r="282" spans="2:7" ht="15.75">
      <c r="B282" s="68" t="s">
        <v>1129</v>
      </c>
      <c r="C282" s="69" t="s">
        <v>1130</v>
      </c>
      <c r="E282" s="69">
        <v>70788</v>
      </c>
      <c r="G282" s="69">
        <v>-70788</v>
      </c>
    </row>
    <row r="283" spans="2:7" ht="15.75">
      <c r="B283" s="68" t="s">
        <v>668</v>
      </c>
      <c r="C283" s="69" t="s">
        <v>669</v>
      </c>
      <c r="E283" s="69"/>
      <c r="G283" s="69">
        <v>-21859</v>
      </c>
    </row>
    <row r="284" spans="2:7" ht="15.75">
      <c r="B284" s="68" t="s">
        <v>1131</v>
      </c>
      <c r="C284" s="69" t="s">
        <v>1132</v>
      </c>
      <c r="E284" s="69">
        <v>8048</v>
      </c>
      <c r="G284" s="69">
        <v>-8048</v>
      </c>
    </row>
    <row r="285" spans="2:7" ht="15.75">
      <c r="B285" s="68" t="s">
        <v>1133</v>
      </c>
      <c r="C285" s="69" t="s">
        <v>1134</v>
      </c>
      <c r="E285" s="69">
        <v>1520</v>
      </c>
      <c r="G285" s="69">
        <v>-1520</v>
      </c>
    </row>
    <row r="286" spans="2:7" ht="15.75">
      <c r="B286" s="68" t="s">
        <v>1135</v>
      </c>
      <c r="C286" s="69" t="s">
        <v>1136</v>
      </c>
      <c r="E286" s="69">
        <v>483</v>
      </c>
      <c r="G286" s="69">
        <v>-483</v>
      </c>
    </row>
    <row r="287" spans="2:7" ht="15.75">
      <c r="B287" s="68" t="s">
        <v>1137</v>
      </c>
      <c r="C287" s="69" t="s">
        <v>1138</v>
      </c>
      <c r="E287" s="69">
        <v>8440</v>
      </c>
      <c r="G287" s="69">
        <v>-8440</v>
      </c>
    </row>
    <row r="288" spans="2:7" ht="15.75">
      <c r="B288" s="68" t="s">
        <v>1139</v>
      </c>
      <c r="C288" s="69" t="s">
        <v>1140</v>
      </c>
      <c r="E288" s="69">
        <v>63761</v>
      </c>
      <c r="G288" s="69">
        <v>-63761</v>
      </c>
    </row>
    <row r="289" spans="2:7" ht="15.75">
      <c r="B289" s="68" t="s">
        <v>1141</v>
      </c>
      <c r="C289" s="69" t="s">
        <v>1142</v>
      </c>
      <c r="E289" s="69">
        <v>200000</v>
      </c>
      <c r="G289" s="69">
        <v>-440108</v>
      </c>
    </row>
    <row r="290" spans="2:7" ht="15.75">
      <c r="B290" s="68" t="s">
        <v>1143</v>
      </c>
      <c r="C290" s="69" t="s">
        <v>1144</v>
      </c>
      <c r="E290" s="69">
        <v>55488</v>
      </c>
      <c r="G290" s="69">
        <v>-55488</v>
      </c>
    </row>
    <row r="291" spans="2:7" ht="15.75">
      <c r="B291" s="68" t="s">
        <v>1145</v>
      </c>
      <c r="C291" s="69" t="s">
        <v>1146</v>
      </c>
      <c r="E291" s="69">
        <v>206068</v>
      </c>
      <c r="G291" s="69">
        <v>-206068</v>
      </c>
    </row>
    <row r="292" spans="2:5" ht="15.75">
      <c r="B292" s="68" t="s">
        <v>1147</v>
      </c>
      <c r="C292" s="69" t="s">
        <v>1148</v>
      </c>
      <c r="E292" s="69">
        <v>55</v>
      </c>
    </row>
    <row r="293" spans="2:7" ht="15.75">
      <c r="B293" s="68" t="s">
        <v>674</v>
      </c>
      <c r="C293" s="69" t="s">
        <v>675</v>
      </c>
      <c r="E293" s="69">
        <v>48053</v>
      </c>
      <c r="G293" s="69">
        <v>-104459</v>
      </c>
    </row>
    <row r="294" spans="2:7" ht="15.75">
      <c r="B294" s="68" t="s">
        <v>1149</v>
      </c>
      <c r="C294" s="69" t="s">
        <v>1150</v>
      </c>
      <c r="E294" s="69">
        <v>78560</v>
      </c>
      <c r="G294" s="69">
        <v>-49608</v>
      </c>
    </row>
    <row r="295" spans="2:5" ht="15.75">
      <c r="B295" s="68" t="s">
        <v>1151</v>
      </c>
      <c r="C295" s="69" t="s">
        <v>415</v>
      </c>
      <c r="E295" s="69">
        <v>50000</v>
      </c>
    </row>
    <row r="296" spans="2:7" ht="15.75">
      <c r="B296" s="68" t="s">
        <v>676</v>
      </c>
      <c r="C296" s="69" t="s">
        <v>677</v>
      </c>
      <c r="E296" s="69">
        <v>332747</v>
      </c>
      <c r="G296" s="69">
        <v>-333971</v>
      </c>
    </row>
    <row r="297" spans="2:7" ht="15.75">
      <c r="B297" s="68" t="s">
        <v>1152</v>
      </c>
      <c r="C297" s="69" t="s">
        <v>1153</v>
      </c>
      <c r="E297" s="69">
        <v>88108</v>
      </c>
      <c r="G297" s="69">
        <v>-88108</v>
      </c>
    </row>
    <row r="298" spans="2:7" ht="15.75">
      <c r="B298" s="68" t="s">
        <v>678</v>
      </c>
      <c r="C298" s="69" t="s">
        <v>679</v>
      </c>
      <c r="E298" s="69"/>
      <c r="G298" s="69">
        <v>-20403</v>
      </c>
    </row>
    <row r="299" spans="2:7" ht="15.75">
      <c r="B299" s="68" t="s">
        <v>680</v>
      </c>
      <c r="C299" s="69" t="s">
        <v>681</v>
      </c>
      <c r="E299" s="69"/>
      <c r="G299" s="69">
        <v>-3060</v>
      </c>
    </row>
    <row r="300" spans="2:7" ht="15.75">
      <c r="B300" s="68" t="s">
        <v>1154</v>
      </c>
      <c r="C300" s="69" t="s">
        <v>1155</v>
      </c>
      <c r="E300" s="69">
        <v>400003</v>
      </c>
      <c r="G300" s="69">
        <v>-400003</v>
      </c>
    </row>
    <row r="301" spans="2:7" ht="15.75">
      <c r="B301" s="68" t="s">
        <v>1156</v>
      </c>
      <c r="C301" s="69" t="s">
        <v>1157</v>
      </c>
      <c r="E301" s="69">
        <v>5460</v>
      </c>
      <c r="G301" s="69">
        <v>-5460</v>
      </c>
    </row>
    <row r="302" spans="2:5" ht="15.75">
      <c r="B302" s="68" t="s">
        <v>1158</v>
      </c>
      <c r="C302" s="69" t="s">
        <v>1159</v>
      </c>
      <c r="E302" s="69">
        <v>4227</v>
      </c>
    </row>
    <row r="303" spans="2:7" ht="15.75">
      <c r="B303" s="68" t="s">
        <v>1160</v>
      </c>
      <c r="C303" s="69" t="s">
        <v>1161</v>
      </c>
      <c r="E303" s="69">
        <v>49536</v>
      </c>
      <c r="G303" s="69">
        <v>-61686</v>
      </c>
    </row>
    <row r="304" spans="2:7" ht="15.75">
      <c r="B304" s="68" t="s">
        <v>1162</v>
      </c>
      <c r="C304" s="69" t="s">
        <v>1163</v>
      </c>
      <c r="E304" s="69">
        <v>168810</v>
      </c>
      <c r="G304" s="69">
        <v>-51000</v>
      </c>
    </row>
    <row r="305" spans="2:7" ht="15.75">
      <c r="B305" s="68" t="s">
        <v>1164</v>
      </c>
      <c r="C305" s="69" t="s">
        <v>1165</v>
      </c>
      <c r="E305" s="69">
        <v>22402.85</v>
      </c>
      <c r="G305" s="69">
        <v>-22402.85</v>
      </c>
    </row>
    <row r="306" spans="2:7" ht="15.75">
      <c r="B306" s="68" t="s">
        <v>1166</v>
      </c>
      <c r="C306" s="69" t="s">
        <v>1167</v>
      </c>
      <c r="E306" s="69">
        <v>496912</v>
      </c>
      <c r="G306" s="69">
        <v>-496912</v>
      </c>
    </row>
    <row r="307" spans="2:7" ht="15.75">
      <c r="B307" s="68" t="s">
        <v>1168</v>
      </c>
      <c r="C307" s="69" t="s">
        <v>732</v>
      </c>
      <c r="E307" s="69">
        <v>6324.87</v>
      </c>
      <c r="G307" s="69">
        <v>-6211.18</v>
      </c>
    </row>
    <row r="308" spans="2:7" ht="15.75">
      <c r="B308" s="68" t="s">
        <v>1169</v>
      </c>
      <c r="C308" s="69" t="s">
        <v>1170</v>
      </c>
      <c r="E308" s="69">
        <v>15069</v>
      </c>
      <c r="G308" s="69">
        <v>-15069</v>
      </c>
    </row>
    <row r="309" spans="2:7" ht="15.75">
      <c r="B309" s="68" t="s">
        <v>1171</v>
      </c>
      <c r="C309" s="69" t="s">
        <v>1172</v>
      </c>
      <c r="E309" s="69">
        <v>29837</v>
      </c>
      <c r="G309" s="69">
        <v>-29837</v>
      </c>
    </row>
    <row r="310" spans="2:7" ht="15.75">
      <c r="B310" s="68" t="s">
        <v>1173</v>
      </c>
      <c r="C310" s="69" t="s">
        <v>1174</v>
      </c>
      <c r="E310" s="69"/>
      <c r="G310" s="69">
        <v>-142050.25</v>
      </c>
    </row>
    <row r="311" spans="2:7" ht="15.75">
      <c r="B311" s="68" t="s">
        <v>1175</v>
      </c>
      <c r="C311" s="69" t="s">
        <v>1176</v>
      </c>
      <c r="E311" s="69">
        <v>64076</v>
      </c>
      <c r="G311" s="69">
        <v>-64076</v>
      </c>
    </row>
    <row r="312" spans="2:7" ht="15.75">
      <c r="B312" s="68" t="s">
        <v>1177</v>
      </c>
      <c r="C312" s="69" t="s">
        <v>1178</v>
      </c>
      <c r="E312" s="69">
        <v>1813</v>
      </c>
      <c r="G312" s="69">
        <v>-1813</v>
      </c>
    </row>
    <row r="313" spans="2:7" ht="15.75">
      <c r="B313" s="68" t="s">
        <v>1179</v>
      </c>
      <c r="C313" s="69" t="s">
        <v>1180</v>
      </c>
      <c r="E313" s="69">
        <v>10649</v>
      </c>
      <c r="G313" s="69">
        <v>-10649</v>
      </c>
    </row>
    <row r="314" spans="2:7" ht="15.75">
      <c r="B314" s="68" t="s">
        <v>1181</v>
      </c>
      <c r="C314" s="69" t="s">
        <v>1182</v>
      </c>
      <c r="E314" s="69">
        <v>100</v>
      </c>
      <c r="G314" s="69">
        <v>-100</v>
      </c>
    </row>
    <row r="315" spans="2:7" ht="15.75">
      <c r="B315" s="68" t="s">
        <v>1183</v>
      </c>
      <c r="C315" s="69" t="s">
        <v>1184</v>
      </c>
      <c r="E315" s="69">
        <v>3717</v>
      </c>
      <c r="G315" s="69">
        <v>-3717</v>
      </c>
    </row>
    <row r="316" spans="2:7" ht="15.75">
      <c r="B316" s="68" t="s">
        <v>684</v>
      </c>
      <c r="C316" s="69" t="s">
        <v>685</v>
      </c>
      <c r="E316" s="69"/>
      <c r="G316" s="69">
        <v>-925</v>
      </c>
    </row>
    <row r="317" spans="2:5" ht="15.75">
      <c r="B317" s="68" t="s">
        <v>1185</v>
      </c>
      <c r="C317" s="69" t="s">
        <v>1186</v>
      </c>
      <c r="E317" s="69">
        <v>25525</v>
      </c>
    </row>
    <row r="318" spans="2:7" ht="15.75">
      <c r="B318" s="68" t="s">
        <v>1187</v>
      </c>
      <c r="C318" s="69" t="s">
        <v>1188</v>
      </c>
      <c r="E318" s="69">
        <v>2736</v>
      </c>
      <c r="G318" s="69">
        <v>-2736</v>
      </c>
    </row>
    <row r="319" spans="2:7" ht="15.75">
      <c r="B319" s="68" t="s">
        <v>1189</v>
      </c>
      <c r="C319" s="69" t="s">
        <v>1190</v>
      </c>
      <c r="E319" s="69">
        <v>5484</v>
      </c>
      <c r="G319" s="69">
        <v>-5484</v>
      </c>
    </row>
    <row r="320" spans="2:7" ht="15.75">
      <c r="B320" s="68" t="s">
        <v>1191</v>
      </c>
      <c r="C320" s="69" t="s">
        <v>1192</v>
      </c>
      <c r="E320" s="69">
        <v>2350</v>
      </c>
      <c r="G320" s="69">
        <v>-2350</v>
      </c>
    </row>
    <row r="321" spans="2:7" ht="15.75">
      <c r="B321" s="68" t="s">
        <v>1193</v>
      </c>
      <c r="C321" s="69" t="s">
        <v>1194</v>
      </c>
      <c r="E321" s="69">
        <v>94342.45</v>
      </c>
      <c r="G321" s="69">
        <v>-94342.45</v>
      </c>
    </row>
    <row r="322" spans="2:7" ht="15.75">
      <c r="B322" s="68" t="s">
        <v>1195</v>
      </c>
      <c r="C322" s="69" t="s">
        <v>1196</v>
      </c>
      <c r="E322" s="69">
        <v>299790</v>
      </c>
      <c r="G322" s="69">
        <v>-299790</v>
      </c>
    </row>
    <row r="323" spans="2:7" ht="15.75">
      <c r="B323" s="68" t="s">
        <v>1197</v>
      </c>
      <c r="C323" s="69" t="s">
        <v>1198</v>
      </c>
      <c r="E323" s="69">
        <v>6800</v>
      </c>
      <c r="G323" s="69">
        <v>-6800</v>
      </c>
    </row>
    <row r="324" spans="2:7" ht="15.75">
      <c r="B324" s="68" t="s">
        <v>1199</v>
      </c>
      <c r="C324" s="69" t="s">
        <v>1200</v>
      </c>
      <c r="E324" s="69">
        <v>38805</v>
      </c>
      <c r="G324" s="69">
        <v>-38805</v>
      </c>
    </row>
    <row r="325" spans="2:7" ht="15.75">
      <c r="B325" s="68" t="s">
        <v>1201</v>
      </c>
      <c r="C325" s="69" t="s">
        <v>1202</v>
      </c>
      <c r="E325" s="69">
        <v>4500</v>
      </c>
      <c r="G325" s="69">
        <v>-4500</v>
      </c>
    </row>
    <row r="326" spans="2:7" ht="15.75">
      <c r="B326" s="68" t="s">
        <v>1203</v>
      </c>
      <c r="C326" s="69" t="s">
        <v>1204</v>
      </c>
      <c r="E326" s="69"/>
      <c r="G326" s="69">
        <v>-11570</v>
      </c>
    </row>
    <row r="327" spans="2:7" ht="15.75">
      <c r="B327" s="68" t="s">
        <v>1205</v>
      </c>
      <c r="C327" s="69" t="s">
        <v>1206</v>
      </c>
      <c r="E327" s="69"/>
      <c r="G327" s="69">
        <v>-40546</v>
      </c>
    </row>
    <row r="328" spans="2:7" ht="15.75">
      <c r="B328" s="68" t="s">
        <v>1207</v>
      </c>
      <c r="C328" s="69" t="s">
        <v>1208</v>
      </c>
      <c r="E328" s="69">
        <v>78231</v>
      </c>
      <c r="G328" s="69">
        <v>-78231</v>
      </c>
    </row>
    <row r="329" spans="2:7" ht="15.75">
      <c r="B329" s="68" t="s">
        <v>1209</v>
      </c>
      <c r="C329" s="69" t="s">
        <v>1210</v>
      </c>
      <c r="E329" s="69">
        <v>105073</v>
      </c>
      <c r="G329" s="69">
        <v>-105073</v>
      </c>
    </row>
    <row r="330" spans="2:7" ht="15.75">
      <c r="B330" s="68" t="s">
        <v>688</v>
      </c>
      <c r="C330" s="69" t="s">
        <v>689</v>
      </c>
      <c r="E330" s="69">
        <v>6052</v>
      </c>
      <c r="G330" s="69">
        <v>-2977</v>
      </c>
    </row>
    <row r="331" spans="2:5" ht="15.75">
      <c r="B331" s="68" t="s">
        <v>1211</v>
      </c>
      <c r="C331" s="69" t="s">
        <v>1212</v>
      </c>
      <c r="E331" s="69">
        <v>1975</v>
      </c>
    </row>
    <row r="332" spans="2:7" ht="15.75">
      <c r="B332" s="68" t="s">
        <v>690</v>
      </c>
      <c r="C332" s="69" t="s">
        <v>691</v>
      </c>
      <c r="E332" s="69">
        <v>18791</v>
      </c>
      <c r="G332" s="69">
        <v>-64133</v>
      </c>
    </row>
    <row r="333" spans="2:7" ht="15.75">
      <c r="B333" s="68" t="s">
        <v>1213</v>
      </c>
      <c r="C333" s="69" t="s">
        <v>1214</v>
      </c>
      <c r="E333" s="69"/>
      <c r="G333" s="69">
        <v>-7140</v>
      </c>
    </row>
    <row r="334" spans="2:5" ht="15.75">
      <c r="B334" s="68" t="s">
        <v>1215</v>
      </c>
      <c r="C334" s="69" t="s">
        <v>1216</v>
      </c>
      <c r="E334" s="69">
        <v>4657</v>
      </c>
    </row>
    <row r="335" spans="2:7" ht="15.75">
      <c r="B335" s="68" t="s">
        <v>1217</v>
      </c>
      <c r="C335" s="69" t="s">
        <v>1218</v>
      </c>
      <c r="E335" s="69">
        <v>59310</v>
      </c>
      <c r="G335" s="69">
        <v>-59310</v>
      </c>
    </row>
    <row r="336" spans="2:7" ht="15.75">
      <c r="B336" s="68" t="s">
        <v>1219</v>
      </c>
      <c r="C336" s="69" t="s">
        <v>1220</v>
      </c>
      <c r="E336" s="69">
        <v>732987.7</v>
      </c>
      <c r="G336" s="69">
        <v>-732987.7</v>
      </c>
    </row>
    <row r="337" spans="2:7" ht="15.75">
      <c r="B337" s="68" t="s">
        <v>1221</v>
      </c>
      <c r="C337" s="69" t="s">
        <v>1222</v>
      </c>
      <c r="E337" s="69">
        <v>25224</v>
      </c>
      <c r="G337" s="69">
        <v>-25224</v>
      </c>
    </row>
    <row r="338" spans="2:7" ht="15.75">
      <c r="B338" s="68" t="s">
        <v>1223</v>
      </c>
      <c r="C338" s="69" t="s">
        <v>1224</v>
      </c>
      <c r="E338" s="69">
        <v>18660</v>
      </c>
      <c r="G338" s="69">
        <v>-9486</v>
      </c>
    </row>
    <row r="339" spans="2:7" ht="15.75">
      <c r="B339" s="68" t="s">
        <v>1225</v>
      </c>
      <c r="C339" s="69" t="s">
        <v>1226</v>
      </c>
      <c r="E339" s="69">
        <v>232490.56</v>
      </c>
      <c r="G339" s="69">
        <v>-232490.56</v>
      </c>
    </row>
    <row r="340" spans="2:7" ht="15.75">
      <c r="B340" s="68" t="s">
        <v>1227</v>
      </c>
      <c r="C340" s="69" t="s">
        <v>1228</v>
      </c>
      <c r="E340" s="69">
        <v>79246</v>
      </c>
      <c r="G340" s="69">
        <v>-79246</v>
      </c>
    </row>
    <row r="341" spans="2:7" ht="15.75">
      <c r="B341" s="68" t="s">
        <v>1229</v>
      </c>
      <c r="C341" s="69" t="s">
        <v>1230</v>
      </c>
      <c r="E341" s="69">
        <v>28560</v>
      </c>
      <c r="G341" s="69">
        <v>-28560</v>
      </c>
    </row>
    <row r="342" spans="2:7" ht="15.75">
      <c r="B342" s="68" t="s">
        <v>1231</v>
      </c>
      <c r="C342" s="69" t="s">
        <v>1232</v>
      </c>
      <c r="E342" s="69"/>
      <c r="G342" s="69">
        <v>-4166</v>
      </c>
    </row>
    <row r="343" spans="2:7" ht="15.75">
      <c r="B343" s="68" t="s">
        <v>1233</v>
      </c>
      <c r="C343" s="69" t="s">
        <v>1234</v>
      </c>
      <c r="E343" s="69">
        <v>209592</v>
      </c>
      <c r="G343" s="69">
        <v>-209592</v>
      </c>
    </row>
    <row r="344" spans="2:7" ht="15.75">
      <c r="B344" s="68" t="s">
        <v>1235</v>
      </c>
      <c r="C344" s="69" t="s">
        <v>1236</v>
      </c>
      <c r="E344" s="69">
        <v>2662</v>
      </c>
      <c r="G344" s="69">
        <v>-2662</v>
      </c>
    </row>
    <row r="345" spans="2:7" ht="15.75">
      <c r="B345" s="68" t="s">
        <v>1237</v>
      </c>
      <c r="C345" s="69" t="s">
        <v>1238</v>
      </c>
      <c r="E345" s="69">
        <v>27001.5</v>
      </c>
      <c r="G345" s="69">
        <v>-27001.5</v>
      </c>
    </row>
    <row r="346" spans="2:7" ht="15.75">
      <c r="B346" s="68" t="s">
        <v>1239</v>
      </c>
      <c r="C346" s="69" t="s">
        <v>1240</v>
      </c>
      <c r="E346" s="69">
        <v>48635</v>
      </c>
      <c r="G346" s="69">
        <v>-48635</v>
      </c>
    </row>
    <row r="347" spans="2:7" ht="15.75">
      <c r="B347" s="68" t="s">
        <v>694</v>
      </c>
      <c r="C347" s="69" t="s">
        <v>695</v>
      </c>
      <c r="E347" s="69">
        <v>86673</v>
      </c>
      <c r="G347" s="69">
        <v>-100258</v>
      </c>
    </row>
    <row r="348" spans="2:7" ht="15.75">
      <c r="B348" s="68" t="s">
        <v>1241</v>
      </c>
      <c r="C348" s="69" t="s">
        <v>1242</v>
      </c>
      <c r="E348" s="69">
        <v>295949</v>
      </c>
      <c r="G348" s="69">
        <v>-295949</v>
      </c>
    </row>
    <row r="349" spans="2:7" ht="15.75">
      <c r="B349" s="68" t="s">
        <v>696</v>
      </c>
      <c r="C349" s="69" t="s">
        <v>697</v>
      </c>
      <c r="E349" s="69"/>
      <c r="G349" s="69">
        <v>-15000</v>
      </c>
    </row>
    <row r="350" spans="2:7" ht="15.75">
      <c r="B350" s="68" t="s">
        <v>1243</v>
      </c>
      <c r="C350" s="69" t="s">
        <v>1244</v>
      </c>
      <c r="E350" s="69"/>
      <c r="G350" s="69">
        <v>-45666.4</v>
      </c>
    </row>
    <row r="351" spans="2:7" ht="15.75">
      <c r="B351" s="68" t="s">
        <v>698</v>
      </c>
      <c r="C351" s="69" t="s">
        <v>699</v>
      </c>
      <c r="E351" s="69">
        <v>226740.6</v>
      </c>
      <c r="G351" s="69">
        <v>-156647.6</v>
      </c>
    </row>
    <row r="352" spans="2:7" ht="15.75">
      <c r="B352" s="68" t="s">
        <v>1245</v>
      </c>
      <c r="C352" s="69" t="s">
        <v>1246</v>
      </c>
      <c r="E352" s="69">
        <v>600000</v>
      </c>
      <c r="G352" s="69">
        <v>-1028417</v>
      </c>
    </row>
    <row r="353" spans="2:7" ht="15.75">
      <c r="B353" s="68" t="s">
        <v>1247</v>
      </c>
      <c r="C353" s="69" t="s">
        <v>1248</v>
      </c>
      <c r="E353" s="69">
        <v>1000</v>
      </c>
      <c r="G353" s="69">
        <v>-1000</v>
      </c>
    </row>
    <row r="354" spans="2:7" ht="15.75">
      <c r="B354" s="68" t="s">
        <v>1249</v>
      </c>
      <c r="C354" s="69" t="s">
        <v>1250</v>
      </c>
      <c r="E354" s="69">
        <v>676887</v>
      </c>
      <c r="G354" s="69">
        <v>-675440</v>
      </c>
    </row>
    <row r="355" spans="2:7" ht="15.75">
      <c r="B355" s="68" t="s">
        <v>1251</v>
      </c>
      <c r="C355" s="69" t="s">
        <v>1252</v>
      </c>
      <c r="E355" s="69">
        <v>169094</v>
      </c>
      <c r="G355" s="69">
        <v>-169094</v>
      </c>
    </row>
    <row r="356" spans="2:7" ht="15.75">
      <c r="B356" s="68" t="s">
        <v>700</v>
      </c>
      <c r="C356" s="69" t="s">
        <v>701</v>
      </c>
      <c r="E356" s="69">
        <v>2256</v>
      </c>
      <c r="G356" s="69">
        <v>-13425</v>
      </c>
    </row>
    <row r="357" spans="2:7" ht="15.75">
      <c r="B357" s="68" t="s">
        <v>1253</v>
      </c>
      <c r="C357" s="69" t="s">
        <v>1254</v>
      </c>
      <c r="E357" s="69">
        <v>28553</v>
      </c>
      <c r="G357" s="69">
        <v>-28553</v>
      </c>
    </row>
    <row r="358" spans="2:7" ht="15.75">
      <c r="B358" s="68" t="s">
        <v>1255</v>
      </c>
      <c r="C358" s="69" t="s">
        <v>1256</v>
      </c>
      <c r="E358" s="69">
        <v>16740.91</v>
      </c>
      <c r="G358" s="69">
        <v>-16740.91</v>
      </c>
    </row>
    <row r="359" spans="2:7" ht="15.75">
      <c r="B359" s="68" t="s">
        <v>1257</v>
      </c>
      <c r="C359" s="69" t="s">
        <v>1258</v>
      </c>
      <c r="E359" s="69">
        <v>129828</v>
      </c>
      <c r="G359" s="69">
        <v>-129828</v>
      </c>
    </row>
    <row r="360" spans="2:7" ht="15.75">
      <c r="B360" s="68" t="s">
        <v>1259</v>
      </c>
      <c r="C360" s="69" t="s">
        <v>1260</v>
      </c>
      <c r="E360" s="69">
        <v>3601.5</v>
      </c>
      <c r="G360" s="69">
        <v>-3601.5</v>
      </c>
    </row>
    <row r="361" spans="2:7" ht="15.75">
      <c r="B361" s="68" t="s">
        <v>1261</v>
      </c>
      <c r="C361" s="69" t="s">
        <v>1262</v>
      </c>
      <c r="E361" s="69">
        <v>58359</v>
      </c>
      <c r="G361" s="69">
        <v>-58359</v>
      </c>
    </row>
    <row r="362" spans="2:7" ht="15.75">
      <c r="B362" s="68" t="s">
        <v>1263</v>
      </c>
      <c r="C362" s="69" t="s">
        <v>1264</v>
      </c>
      <c r="E362" s="69">
        <v>311362</v>
      </c>
      <c r="G362" s="69">
        <v>-311362</v>
      </c>
    </row>
    <row r="363" spans="2:7" ht="15.75">
      <c r="B363" s="68" t="s">
        <v>1265</v>
      </c>
      <c r="C363" s="69" t="s">
        <v>1266</v>
      </c>
      <c r="E363" s="69">
        <v>43897</v>
      </c>
      <c r="G363" s="69">
        <v>-30902</v>
      </c>
    </row>
    <row r="364" spans="2:7" ht="15.75">
      <c r="B364" s="68" t="s">
        <v>1267</v>
      </c>
      <c r="C364" s="69" t="s">
        <v>1268</v>
      </c>
      <c r="E364" s="69">
        <v>18589</v>
      </c>
      <c r="G364" s="69">
        <v>-18589</v>
      </c>
    </row>
    <row r="365" spans="2:7" ht="15.75">
      <c r="B365" s="68" t="s">
        <v>1269</v>
      </c>
      <c r="C365" s="69" t="s">
        <v>1270</v>
      </c>
      <c r="E365" s="69">
        <v>58551</v>
      </c>
      <c r="G365" s="69">
        <v>-58551</v>
      </c>
    </row>
    <row r="366" spans="2:7" ht="15.75">
      <c r="B366" s="68" t="s">
        <v>1271</v>
      </c>
      <c r="C366" s="69" t="s">
        <v>1272</v>
      </c>
      <c r="E366" s="69">
        <v>1491</v>
      </c>
      <c r="G366" s="69">
        <v>-1491</v>
      </c>
    </row>
    <row r="367" spans="2:7" ht="15.75">
      <c r="B367" s="68" t="s">
        <v>1273</v>
      </c>
      <c r="C367" s="69" t="s">
        <v>1274</v>
      </c>
      <c r="E367" s="69">
        <v>654</v>
      </c>
      <c r="G367" s="69">
        <v>-654</v>
      </c>
    </row>
    <row r="368" spans="2:7" ht="15.75">
      <c r="B368" s="68" t="s">
        <v>704</v>
      </c>
      <c r="C368" s="69" t="s">
        <v>1275</v>
      </c>
      <c r="E368" s="69"/>
      <c r="G368" s="69">
        <v>-49918</v>
      </c>
    </row>
    <row r="369" spans="2:7" ht="15.75">
      <c r="B369" s="68" t="s">
        <v>1276</v>
      </c>
      <c r="C369" s="69" t="s">
        <v>1277</v>
      </c>
      <c r="E369" s="69">
        <v>1100</v>
      </c>
      <c r="G369" s="69">
        <v>-1100</v>
      </c>
    </row>
    <row r="370" spans="2:7" ht="15.75">
      <c r="B370" s="68" t="s">
        <v>1278</v>
      </c>
      <c r="C370" s="69" t="s">
        <v>1279</v>
      </c>
      <c r="E370" s="69">
        <v>1009</v>
      </c>
      <c r="G370" s="69">
        <v>-1009</v>
      </c>
    </row>
    <row r="371" spans="2:7" ht="15.75">
      <c r="B371" s="68" t="s">
        <v>708</v>
      </c>
      <c r="C371" s="69" t="s">
        <v>709</v>
      </c>
      <c r="E371" s="69">
        <v>5151</v>
      </c>
      <c r="G371" s="69">
        <v>-5151</v>
      </c>
    </row>
    <row r="372" spans="2:7" ht="15.75">
      <c r="B372" s="68" t="s">
        <v>1280</v>
      </c>
      <c r="C372" s="69" t="s">
        <v>1281</v>
      </c>
      <c r="E372" s="69">
        <v>630</v>
      </c>
      <c r="G372" s="69">
        <v>-7245</v>
      </c>
    </row>
    <row r="373" spans="2:7" ht="15.75">
      <c r="B373" s="68" t="s">
        <v>1282</v>
      </c>
      <c r="C373" s="69" t="s">
        <v>1283</v>
      </c>
      <c r="E373" s="69">
        <v>6358</v>
      </c>
      <c r="G373" s="69">
        <v>-6358</v>
      </c>
    </row>
    <row r="374" spans="2:7" ht="15.75">
      <c r="B374" s="68" t="s">
        <v>710</v>
      </c>
      <c r="C374" s="69" t="s">
        <v>711</v>
      </c>
      <c r="E374" s="69"/>
      <c r="G374" s="69">
        <v>-8736.4</v>
      </c>
    </row>
    <row r="375" spans="2:7" ht="15.75">
      <c r="B375" s="68" t="s">
        <v>1284</v>
      </c>
      <c r="C375" s="69" t="s">
        <v>1285</v>
      </c>
      <c r="E375" s="69"/>
      <c r="G375" s="69">
        <v>-121761</v>
      </c>
    </row>
    <row r="376" spans="2:7" ht="15.75">
      <c r="B376" s="68" t="s">
        <v>1286</v>
      </c>
      <c r="C376" s="69" t="s">
        <v>1287</v>
      </c>
      <c r="E376" s="69">
        <v>1953</v>
      </c>
      <c r="G376" s="69">
        <v>-1953</v>
      </c>
    </row>
    <row r="377" spans="2:7" ht="15.75">
      <c r="B377" s="68" t="s">
        <v>1288</v>
      </c>
      <c r="C377" s="69" t="s">
        <v>1289</v>
      </c>
      <c r="E377" s="69">
        <v>750</v>
      </c>
      <c r="G377" s="69">
        <v>-750</v>
      </c>
    </row>
    <row r="378" spans="2:7" ht="15.75">
      <c r="B378" s="68" t="s">
        <v>1290</v>
      </c>
      <c r="C378" s="69" t="s">
        <v>1291</v>
      </c>
      <c r="E378" s="69">
        <v>76579</v>
      </c>
      <c r="G378" s="69">
        <v>-76579</v>
      </c>
    </row>
    <row r="379" spans="2:5" ht="15.75">
      <c r="B379" s="68" t="s">
        <v>1292</v>
      </c>
      <c r="C379" s="69" t="s">
        <v>1293</v>
      </c>
      <c r="E379" s="69">
        <v>14270</v>
      </c>
    </row>
    <row r="380" spans="2:7" ht="15.75">
      <c r="B380" s="68" t="s">
        <v>1294</v>
      </c>
      <c r="C380" s="69" t="s">
        <v>1295</v>
      </c>
      <c r="E380" s="69">
        <v>94934</v>
      </c>
      <c r="G380" s="69">
        <v>-155457</v>
      </c>
    </row>
    <row r="381" spans="2:7" ht="15.75">
      <c r="B381" s="68" t="s">
        <v>1296</v>
      </c>
      <c r="C381" s="69" t="s">
        <v>1297</v>
      </c>
      <c r="E381" s="69">
        <v>16931.2</v>
      </c>
      <c r="G381" s="69">
        <v>-16931.2</v>
      </c>
    </row>
    <row r="382" spans="2:7" ht="15.75">
      <c r="B382" s="68" t="s">
        <v>1298</v>
      </c>
      <c r="C382" s="69" t="s">
        <v>1299</v>
      </c>
      <c r="E382" s="69">
        <v>28873</v>
      </c>
      <c r="G382" s="69">
        <v>-28873</v>
      </c>
    </row>
    <row r="383" spans="2:7" ht="15.75">
      <c r="B383" s="68" t="s">
        <v>1300</v>
      </c>
      <c r="C383" s="69" t="s">
        <v>1301</v>
      </c>
      <c r="E383" s="69">
        <v>84510</v>
      </c>
      <c r="G383" s="69">
        <v>-84510</v>
      </c>
    </row>
    <row r="384" spans="2:5" ht="15.75">
      <c r="B384" s="68" t="s">
        <v>1302</v>
      </c>
      <c r="C384" s="69" t="s">
        <v>1303</v>
      </c>
      <c r="E384" s="69">
        <v>16932.8</v>
      </c>
    </row>
    <row r="385" spans="2:7" ht="15.75">
      <c r="B385" s="68" t="s">
        <v>1304</v>
      </c>
      <c r="C385" s="69" t="s">
        <v>1305</v>
      </c>
      <c r="E385" s="69">
        <v>800</v>
      </c>
      <c r="G385" s="69">
        <v>-800</v>
      </c>
    </row>
    <row r="386" spans="2:7" ht="15.75">
      <c r="B386" s="68" t="s">
        <v>1306</v>
      </c>
      <c r="C386" s="69" t="s">
        <v>1307</v>
      </c>
      <c r="E386" s="69">
        <v>56924</v>
      </c>
      <c r="G386" s="69">
        <v>-7121</v>
      </c>
    </row>
    <row r="387" spans="2:7" ht="15.75">
      <c r="B387" s="68" t="s">
        <v>1308</v>
      </c>
      <c r="C387" s="69" t="s">
        <v>1309</v>
      </c>
      <c r="E387" s="69">
        <v>53046</v>
      </c>
      <c r="G387" s="69">
        <v>-53046</v>
      </c>
    </row>
    <row r="388" spans="2:7" ht="15.75">
      <c r="B388" s="68" t="s">
        <v>1310</v>
      </c>
      <c r="C388" s="69" t="s">
        <v>1311</v>
      </c>
      <c r="E388" s="69">
        <v>6072</v>
      </c>
      <c r="G388" s="69">
        <v>-6072</v>
      </c>
    </row>
    <row r="389" spans="2:7" ht="15.75">
      <c r="B389" s="68" t="s">
        <v>1312</v>
      </c>
      <c r="C389" s="69" t="s">
        <v>1313</v>
      </c>
      <c r="E389" s="69">
        <v>529</v>
      </c>
      <c r="G389" s="69">
        <v>-529</v>
      </c>
    </row>
    <row r="390" spans="2:5" ht="15.75">
      <c r="B390" s="68" t="s">
        <v>1314</v>
      </c>
      <c r="C390" s="69" t="s">
        <v>1315</v>
      </c>
      <c r="E390" s="69">
        <v>303</v>
      </c>
    </row>
    <row r="391" spans="2:7" ht="15.75">
      <c r="B391" s="68" t="s">
        <v>1316</v>
      </c>
      <c r="C391" s="69" t="s">
        <v>1317</v>
      </c>
      <c r="E391" s="69">
        <v>11700</v>
      </c>
      <c r="G391" s="69">
        <v>-11700</v>
      </c>
    </row>
    <row r="392" spans="2:7" ht="15.75">
      <c r="B392" s="68" t="s">
        <v>1318</v>
      </c>
      <c r="C392" s="69" t="s">
        <v>1319</v>
      </c>
      <c r="E392" s="69">
        <v>7800</v>
      </c>
      <c r="G392" s="69">
        <v>-7800</v>
      </c>
    </row>
    <row r="393" spans="2:7" ht="15.75">
      <c r="B393" s="68" t="s">
        <v>1320</v>
      </c>
      <c r="C393" s="69" t="s">
        <v>1321</v>
      </c>
      <c r="E393" s="69">
        <v>10248</v>
      </c>
      <c r="G393" s="69">
        <v>-9072</v>
      </c>
    </row>
    <row r="394" spans="2:7" ht="15.75">
      <c r="B394" s="68" t="s">
        <v>1322</v>
      </c>
      <c r="C394" s="69" t="s">
        <v>1323</v>
      </c>
      <c r="E394" s="69">
        <v>5381</v>
      </c>
      <c r="G394" s="69">
        <v>-5381</v>
      </c>
    </row>
    <row r="395" spans="2:7" ht="15.75">
      <c r="B395" s="68" t="s">
        <v>1324</v>
      </c>
      <c r="C395" s="69" t="s">
        <v>1325</v>
      </c>
      <c r="E395" s="69">
        <v>100755</v>
      </c>
      <c r="G395" s="69">
        <v>-100755</v>
      </c>
    </row>
    <row r="396" spans="2:7" ht="15.75">
      <c r="B396" s="68" t="s">
        <v>720</v>
      </c>
      <c r="C396" s="69" t="s">
        <v>721</v>
      </c>
      <c r="E396" s="69">
        <v>45641</v>
      </c>
      <c r="G396" s="69">
        <v>-41893</v>
      </c>
    </row>
    <row r="397" spans="2:7" ht="15.75">
      <c r="B397" s="68" t="s">
        <v>1326</v>
      </c>
      <c r="C397" s="69" t="s">
        <v>1327</v>
      </c>
      <c r="E397" s="69">
        <v>350</v>
      </c>
      <c r="G397" s="69">
        <v>-350</v>
      </c>
    </row>
    <row r="398" spans="2:7" ht="15.75">
      <c r="B398" s="68" t="s">
        <v>1328</v>
      </c>
      <c r="C398" s="69" t="s">
        <v>1329</v>
      </c>
      <c r="E398" s="69">
        <v>37349</v>
      </c>
      <c r="G398" s="69">
        <v>-37349</v>
      </c>
    </row>
    <row r="399" spans="2:7" ht="15.75">
      <c r="B399" s="68" t="s">
        <v>726</v>
      </c>
      <c r="C399" s="69" t="s">
        <v>727</v>
      </c>
      <c r="E399" s="69"/>
      <c r="G399" s="69">
        <v>-15656</v>
      </c>
    </row>
    <row r="400" spans="2:5" ht="15.75">
      <c r="B400" s="68" t="s">
        <v>1330</v>
      </c>
      <c r="C400" s="69" t="s">
        <v>1331</v>
      </c>
      <c r="E400" s="69">
        <v>16226</v>
      </c>
    </row>
    <row r="401" spans="2:5" ht="15.75">
      <c r="B401" s="68" t="s">
        <v>1332</v>
      </c>
      <c r="C401" s="69" t="s">
        <v>1333</v>
      </c>
      <c r="E401" s="69">
        <v>41539</v>
      </c>
    </row>
    <row r="402" spans="2:5" ht="15.75">
      <c r="B402" s="68" t="s">
        <v>1334</v>
      </c>
      <c r="C402" s="69" t="s">
        <v>1335</v>
      </c>
      <c r="E402" s="69">
        <v>1230</v>
      </c>
    </row>
    <row r="403" spans="2:8" ht="15.75">
      <c r="B403" s="68" t="s">
        <v>1336</v>
      </c>
      <c r="C403" s="69" t="s">
        <v>1337</v>
      </c>
      <c r="E403" s="69">
        <v>7446</v>
      </c>
      <c r="G403" s="69">
        <v>-7446</v>
      </c>
      <c r="H403" s="69">
        <f>+G409-G405</f>
        <v>0.41999999433755875</v>
      </c>
    </row>
    <row r="404" spans="2:7" ht="15.75">
      <c r="B404" s="68" t="s">
        <v>1338</v>
      </c>
      <c r="C404" s="69" t="s">
        <v>1339</v>
      </c>
      <c r="E404" s="69">
        <v>246866</v>
      </c>
      <c r="G404" s="69">
        <v>-139093</v>
      </c>
    </row>
    <row r="405" spans="5:9" ht="16.5" thickBot="1">
      <c r="E405" s="131">
        <f>SUM(E141:E404)</f>
        <v>39503837.18000001</v>
      </c>
      <c r="G405" s="131">
        <f>-SUM(G141:G404)</f>
        <v>51150720.24</v>
      </c>
      <c r="H405" s="69" t="s">
        <v>1340</v>
      </c>
      <c r="I405" s="131">
        <f>G405</f>
        <v>51150720.24</v>
      </c>
    </row>
    <row r="406" spans="2:9" ht="16.5" thickTop="1">
      <c r="B406" s="163"/>
      <c r="E406" s="133"/>
      <c r="G406" s="69">
        <f>59726468.58-4348075.34-4227673</f>
        <v>51150720.239999995</v>
      </c>
      <c r="I406" s="133"/>
    </row>
    <row r="407" spans="2:9" ht="15.75">
      <c r="B407" s="163"/>
      <c r="D407" s="69" t="s">
        <v>43</v>
      </c>
      <c r="E407" s="118">
        <v>4032206</v>
      </c>
      <c r="G407" s="69">
        <v>4245071</v>
      </c>
      <c r="H407" s="133">
        <f>59726468.58-4227673-4348075.34</f>
        <v>51150720.239999995</v>
      </c>
      <c r="I407" s="133"/>
    </row>
    <row r="408" spans="2:9" ht="15.75">
      <c r="B408" s="163"/>
      <c r="D408" s="69" t="s">
        <v>46</v>
      </c>
      <c r="E408" s="118">
        <f>+E405-E407</f>
        <v>35471631.18000001</v>
      </c>
      <c r="G408" s="133">
        <f>55481398-4227673-4348075.34</f>
        <v>46905649.66</v>
      </c>
      <c r="I408" s="133"/>
    </row>
    <row r="409" spans="2:9" ht="16.5" thickBot="1">
      <c r="B409" s="163"/>
      <c r="E409" s="131">
        <f>SUM(E407:E408)</f>
        <v>39503837.18000001</v>
      </c>
      <c r="G409" s="131">
        <f>SUM(G407:G408)</f>
        <v>51150720.66</v>
      </c>
      <c r="I409" s="133"/>
    </row>
    <row r="410" ht="16.5" thickTop="1">
      <c r="E410" s="121" t="s">
        <v>67</v>
      </c>
    </row>
    <row r="411" spans="2:3" ht="15.75">
      <c r="B411" s="138" t="s">
        <v>1350</v>
      </c>
      <c r="C411" s="125" t="s">
        <v>1351</v>
      </c>
    </row>
    <row r="412" spans="2:7" ht="15.75">
      <c r="B412" s="68">
        <v>13006001</v>
      </c>
      <c r="C412" s="69" t="s">
        <v>1351</v>
      </c>
      <c r="E412" s="121">
        <f>-7530273-155100+23663-2199</f>
        <v>-7663909</v>
      </c>
      <c r="G412" s="69">
        <v>-7159808.82</v>
      </c>
    </row>
    <row r="413" spans="2:7" ht="15.75">
      <c r="B413" s="68">
        <v>13006002</v>
      </c>
      <c r="C413" s="69" t="s">
        <v>1352</v>
      </c>
      <c r="E413" s="121">
        <v>-791930.64</v>
      </c>
      <c r="G413" s="69">
        <v>-791930.64</v>
      </c>
    </row>
    <row r="414" spans="2:7" ht="15.75">
      <c r="B414" s="68">
        <v>13006004</v>
      </c>
      <c r="C414" s="69" t="s">
        <v>598</v>
      </c>
      <c r="E414" s="121">
        <v>-18553</v>
      </c>
      <c r="G414" s="69">
        <v>-19886</v>
      </c>
    </row>
    <row r="415" spans="2:7" ht="15.75">
      <c r="B415" s="68">
        <v>13006008</v>
      </c>
      <c r="C415" s="69" t="s">
        <v>1353</v>
      </c>
      <c r="E415" s="121">
        <v>-119361</v>
      </c>
      <c r="G415" s="69">
        <v>-49950</v>
      </c>
    </row>
    <row r="416" spans="2:7" ht="15.75">
      <c r="B416" s="68">
        <v>13006009</v>
      </c>
      <c r="C416" s="69" t="s">
        <v>1354</v>
      </c>
      <c r="E416" s="121">
        <v>-79780</v>
      </c>
      <c r="G416" s="69">
        <v>-38535</v>
      </c>
    </row>
    <row r="417" spans="2:7" ht="15.75">
      <c r="B417" s="68">
        <v>13006010</v>
      </c>
      <c r="C417" s="69" t="s">
        <v>1355</v>
      </c>
      <c r="G417" s="69">
        <v>-1324</v>
      </c>
    </row>
    <row r="418" spans="2:7" ht="15.75">
      <c r="B418" s="68">
        <v>13006011</v>
      </c>
      <c r="C418" s="69" t="s">
        <v>1356</v>
      </c>
      <c r="E418" s="121">
        <v>-11126</v>
      </c>
      <c r="G418" s="69">
        <v>-8908</v>
      </c>
    </row>
    <row r="419" spans="2:7" ht="15.75">
      <c r="B419" s="68">
        <v>13006013</v>
      </c>
      <c r="C419" s="69" t="s">
        <v>1357</v>
      </c>
      <c r="E419" s="121">
        <v>-13144</v>
      </c>
      <c r="G419" s="69">
        <v>-13144</v>
      </c>
    </row>
    <row r="420" spans="2:7" ht="15.75">
      <c r="B420" s="68">
        <v>13006015</v>
      </c>
      <c r="C420" s="69" t="s">
        <v>1358</v>
      </c>
      <c r="E420" s="121">
        <v>-3000</v>
      </c>
      <c r="G420" s="69">
        <v>-3000</v>
      </c>
    </row>
    <row r="421" spans="2:7" ht="15.75">
      <c r="B421" s="68">
        <v>13006016</v>
      </c>
      <c r="C421" s="69" t="s">
        <v>1359</v>
      </c>
      <c r="E421" s="121">
        <v>-149533</v>
      </c>
      <c r="G421" s="69">
        <v>-67613</v>
      </c>
    </row>
    <row r="422" spans="2:7" ht="15.75">
      <c r="B422" s="68">
        <v>13006018</v>
      </c>
      <c r="C422" s="69" t="s">
        <v>1360</v>
      </c>
      <c r="E422" s="121">
        <v>-3299320.98</v>
      </c>
      <c r="G422" s="69">
        <v>-4425391.98</v>
      </c>
    </row>
    <row r="423" spans="2:7" ht="15.75">
      <c r="B423" s="68">
        <v>13006022</v>
      </c>
      <c r="C423" s="69" t="s">
        <v>1361</v>
      </c>
      <c r="E423" s="121">
        <v>-30583</v>
      </c>
      <c r="G423" s="69">
        <v>-1341308</v>
      </c>
    </row>
    <row r="424" spans="2:7" ht="15.75">
      <c r="B424" s="68">
        <v>13006023</v>
      </c>
      <c r="C424" s="69" t="s">
        <v>1362</v>
      </c>
      <c r="E424" s="121">
        <v>-115808</v>
      </c>
      <c r="G424" s="69">
        <v>-62675</v>
      </c>
    </row>
    <row r="425" spans="2:7" ht="15.75">
      <c r="B425" s="68">
        <v>13006024</v>
      </c>
      <c r="C425" s="69" t="s">
        <v>1363</v>
      </c>
      <c r="E425" s="121">
        <v>-51560</v>
      </c>
      <c r="G425" s="69">
        <v>-58260</v>
      </c>
    </row>
    <row r="426" spans="2:7" ht="15.75">
      <c r="B426" s="68">
        <v>13006026</v>
      </c>
      <c r="C426" s="69" t="s">
        <v>1364</v>
      </c>
      <c r="E426" s="121">
        <v>-105063</v>
      </c>
      <c r="G426" s="69">
        <v>-200386</v>
      </c>
    </row>
    <row r="427" spans="2:7" ht="15.75">
      <c r="B427" s="68">
        <v>13006027</v>
      </c>
      <c r="C427" s="69" t="s">
        <v>1365</v>
      </c>
      <c r="E427" s="121">
        <v>-10058</v>
      </c>
      <c r="G427" s="69">
        <v>-21968</v>
      </c>
    </row>
    <row r="428" spans="2:7" ht="15.75">
      <c r="B428" s="68">
        <v>13006028</v>
      </c>
      <c r="C428" s="69" t="s">
        <v>1366</v>
      </c>
      <c r="E428" s="121">
        <v>-55230</v>
      </c>
      <c r="G428" s="69">
        <v>-55230</v>
      </c>
    </row>
    <row r="429" spans="2:7" ht="15.75">
      <c r="B429" s="68">
        <v>13006036</v>
      </c>
      <c r="C429" s="69" t="s">
        <v>1367</v>
      </c>
      <c r="G429" s="69">
        <v>-3144</v>
      </c>
    </row>
    <row r="430" spans="2:7" ht="15.75">
      <c r="B430" s="68">
        <v>13006037</v>
      </c>
      <c r="C430" s="69" t="s">
        <v>1368</v>
      </c>
      <c r="E430" s="121">
        <v>-1445461</v>
      </c>
      <c r="G430" s="69">
        <v>-2252519</v>
      </c>
    </row>
    <row r="431" spans="2:7" ht="15.75">
      <c r="B431" s="68">
        <v>13006040</v>
      </c>
      <c r="C431" s="69" t="s">
        <v>1369</v>
      </c>
      <c r="E431" s="121">
        <v>-15000</v>
      </c>
      <c r="G431" s="69">
        <v>-5000</v>
      </c>
    </row>
    <row r="432" spans="2:7" ht="15.75">
      <c r="B432" s="68">
        <v>13006042</v>
      </c>
      <c r="C432" s="69" t="s">
        <v>1370</v>
      </c>
      <c r="E432" s="121">
        <v>-25500</v>
      </c>
      <c r="G432" s="69">
        <v>-25500</v>
      </c>
    </row>
    <row r="433" spans="2:7" ht="15.75">
      <c r="B433" s="68">
        <v>13006047</v>
      </c>
      <c r="C433" s="69" t="s">
        <v>1371</v>
      </c>
      <c r="G433" s="69">
        <v>-155</v>
      </c>
    </row>
    <row r="434" spans="2:7" ht="15.75">
      <c r="B434" s="68">
        <v>13006054</v>
      </c>
      <c r="C434" s="69" t="s">
        <v>1372</v>
      </c>
      <c r="E434" s="121">
        <v>-20514</v>
      </c>
      <c r="G434" s="69">
        <v>-5024</v>
      </c>
    </row>
    <row r="435" spans="2:7" ht="15.75">
      <c r="B435" s="68">
        <v>13006061</v>
      </c>
      <c r="C435" s="69" t="s">
        <v>1373</v>
      </c>
      <c r="E435" s="121">
        <v>281</v>
      </c>
      <c r="G435" s="69">
        <v>281</v>
      </c>
    </row>
    <row r="436" spans="2:18" s="118" customFormat="1" ht="15.75">
      <c r="B436" s="119" t="s">
        <v>1374</v>
      </c>
      <c r="C436" s="135" t="s">
        <v>1375</v>
      </c>
      <c r="E436" s="120">
        <v>-26875</v>
      </c>
      <c r="F436" s="146"/>
      <c r="J436" s="146"/>
      <c r="K436" s="146"/>
      <c r="L436" s="146"/>
      <c r="M436" s="146"/>
      <c r="R436" s="120"/>
    </row>
    <row r="437" spans="2:7" s="118" customFormat="1" ht="15.75">
      <c r="B437" s="119">
        <v>13006081</v>
      </c>
      <c r="C437" s="118" t="s">
        <v>1376</v>
      </c>
      <c r="E437" s="120">
        <v>-33830</v>
      </c>
      <c r="G437" s="118">
        <v>-17180</v>
      </c>
    </row>
    <row r="438" spans="2:18" s="118" customFormat="1" ht="15.75">
      <c r="B438" s="119" t="s">
        <v>1377</v>
      </c>
      <c r="C438" s="135" t="s">
        <v>1378</v>
      </c>
      <c r="E438" s="120">
        <v>-2236</v>
      </c>
      <c r="F438" s="146"/>
      <c r="J438" s="146"/>
      <c r="K438" s="146"/>
      <c r="L438" s="146"/>
      <c r="M438" s="146"/>
      <c r="R438" s="120"/>
    </row>
    <row r="439" spans="2:7" s="118" customFormat="1" ht="15.75">
      <c r="B439" s="119">
        <v>13006140</v>
      </c>
      <c r="C439" s="118" t="s">
        <v>600</v>
      </c>
      <c r="E439" s="120">
        <v>-145</v>
      </c>
      <c r="G439" s="118">
        <v>-12295</v>
      </c>
    </row>
    <row r="440" spans="2:7" s="118" customFormat="1" ht="15.75">
      <c r="B440" s="119">
        <v>13006218</v>
      </c>
      <c r="C440" s="118" t="s">
        <v>1379</v>
      </c>
      <c r="E440" s="120">
        <v>-28090</v>
      </c>
      <c r="G440" s="118">
        <v>-28090</v>
      </c>
    </row>
    <row r="441" spans="2:7" s="118" customFormat="1" ht="15.75">
      <c r="B441" s="119">
        <v>13006222</v>
      </c>
      <c r="C441" s="118" t="s">
        <v>1380</v>
      </c>
      <c r="E441" s="120"/>
      <c r="G441" s="118">
        <v>3</v>
      </c>
    </row>
    <row r="442" spans="2:7" s="118" customFormat="1" ht="15.75">
      <c r="B442" s="119">
        <v>13006231</v>
      </c>
      <c r="C442" s="118" t="s">
        <v>1381</v>
      </c>
      <c r="E442" s="120">
        <v>-17738</v>
      </c>
      <c r="G442" s="118">
        <v>-17738</v>
      </c>
    </row>
    <row r="443" spans="2:7" s="118" customFormat="1" ht="15.75">
      <c r="B443" s="119">
        <v>13006232</v>
      </c>
      <c r="C443" s="118" t="s">
        <v>1382</v>
      </c>
      <c r="E443" s="120">
        <v>-44250</v>
      </c>
      <c r="G443" s="118">
        <v>-44250</v>
      </c>
    </row>
    <row r="444" spans="2:7" s="118" customFormat="1" ht="15.75">
      <c r="B444" s="119">
        <v>13006264</v>
      </c>
      <c r="C444" s="118" t="s">
        <v>1383</v>
      </c>
      <c r="E444" s="120"/>
      <c r="G444" s="118">
        <v>112360</v>
      </c>
    </row>
    <row r="445" spans="2:7" s="118" customFormat="1" ht="15.75">
      <c r="B445" s="119">
        <v>13006271</v>
      </c>
      <c r="C445" s="118" t="s">
        <v>1384</v>
      </c>
      <c r="E445" s="120">
        <v>-177</v>
      </c>
      <c r="G445" s="118">
        <v>-177</v>
      </c>
    </row>
    <row r="446" spans="2:7" s="118" customFormat="1" ht="15.75">
      <c r="B446" s="119">
        <v>13006280</v>
      </c>
      <c r="C446" s="118" t="s">
        <v>1385</v>
      </c>
      <c r="E446" s="120"/>
      <c r="G446" s="118">
        <v>22997</v>
      </c>
    </row>
    <row r="447" spans="2:7" s="118" customFormat="1" ht="15.75">
      <c r="B447" s="119" t="s">
        <v>593</v>
      </c>
      <c r="C447" s="118" t="s">
        <v>594</v>
      </c>
      <c r="G447" s="118">
        <v>-4227673</v>
      </c>
    </row>
    <row r="448" spans="2:7" ht="15.75">
      <c r="B448" s="68" t="s">
        <v>1388</v>
      </c>
      <c r="C448" s="69" t="s">
        <v>1389</v>
      </c>
      <c r="E448" s="69">
        <v>-3191675.85</v>
      </c>
      <c r="G448" s="69">
        <v>-4348075.34</v>
      </c>
    </row>
    <row r="449" spans="5:9" ht="16.5" thickBot="1">
      <c r="E449" s="147">
        <f>-SUM(E412:E448)</f>
        <v>17369170.470000003</v>
      </c>
      <c r="G449" s="147">
        <f>-SUM(G412:G448)</f>
        <v>25170497.78</v>
      </c>
      <c r="H449" s="69" t="s">
        <v>1340</v>
      </c>
      <c r="I449" s="145">
        <f>G449</f>
        <v>25170497.78</v>
      </c>
    </row>
    <row r="450" ht="16.5" thickTop="1"/>
    <row r="451" spans="2:5" ht="15.75">
      <c r="B451" s="138" t="s">
        <v>1390</v>
      </c>
      <c r="C451" s="125" t="s">
        <v>1391</v>
      </c>
      <c r="E451" s="69"/>
    </row>
    <row r="452" spans="2:7" s="70" customFormat="1" ht="15.75">
      <c r="B452" s="68" t="s">
        <v>1392</v>
      </c>
      <c r="C452" s="69" t="s">
        <v>1393</v>
      </c>
      <c r="D452" s="68"/>
      <c r="E452" s="69">
        <v>275000</v>
      </c>
      <c r="F452" s="69"/>
      <c r="G452" s="69">
        <v>275000</v>
      </c>
    </row>
    <row r="453" spans="2:7" s="70" customFormat="1" ht="15.75">
      <c r="B453" s="68">
        <v>12041023</v>
      </c>
      <c r="C453" s="69" t="s">
        <v>1254</v>
      </c>
      <c r="D453" s="69"/>
      <c r="E453" s="69">
        <v>150000</v>
      </c>
      <c r="F453" s="69"/>
      <c r="G453" s="69">
        <v>0</v>
      </c>
    </row>
    <row r="454" spans="2:7" ht="15.75">
      <c r="B454" s="68">
        <v>10011002</v>
      </c>
      <c r="C454" s="69" t="s">
        <v>1394</v>
      </c>
      <c r="E454" s="69">
        <v>0</v>
      </c>
      <c r="G454" s="69">
        <v>-3275713.84</v>
      </c>
    </row>
    <row r="455" spans="2:7" ht="15.75">
      <c r="B455" s="68">
        <v>10011004</v>
      </c>
      <c r="C455" s="69" t="s">
        <v>1395</v>
      </c>
      <c r="E455" s="69">
        <v>8518</v>
      </c>
      <c r="G455" s="69">
        <v>-8518</v>
      </c>
    </row>
    <row r="456" spans="2:7" ht="15.75">
      <c r="B456" s="68">
        <v>11006001</v>
      </c>
      <c r="C456" s="69" t="s">
        <v>1396</v>
      </c>
      <c r="E456" s="69">
        <v>26904</v>
      </c>
      <c r="G456" s="69">
        <v>-26904</v>
      </c>
    </row>
    <row r="457" spans="2:7" ht="15.75">
      <c r="B457" s="68">
        <v>11006005</v>
      </c>
      <c r="C457" s="69" t="s">
        <v>568</v>
      </c>
      <c r="E457" s="69">
        <v>1162724</v>
      </c>
      <c r="G457" s="69">
        <v>-1386259</v>
      </c>
    </row>
    <row r="458" spans="2:7" ht="15.75">
      <c r="B458" s="68">
        <v>12041022</v>
      </c>
      <c r="C458" s="69" t="s">
        <v>1397</v>
      </c>
      <c r="E458" s="69">
        <v>165812</v>
      </c>
      <c r="G458" s="69">
        <v>-165812</v>
      </c>
    </row>
    <row r="459" spans="2:7" ht="15.75">
      <c r="B459" s="68">
        <v>12041031</v>
      </c>
      <c r="C459" s="69" t="s">
        <v>1398</v>
      </c>
      <c r="E459" s="69">
        <v>20042</v>
      </c>
      <c r="G459" s="69">
        <v>-20042</v>
      </c>
    </row>
    <row r="460" spans="2:7" ht="15.75">
      <c r="B460" s="68">
        <v>12041048</v>
      </c>
      <c r="C460" s="69" t="s">
        <v>1399</v>
      </c>
      <c r="E460" s="69"/>
      <c r="G460" s="69">
        <v>-21440</v>
      </c>
    </row>
    <row r="461" spans="2:7" ht="15.75">
      <c r="B461" s="68">
        <v>12041056</v>
      </c>
      <c r="C461" s="69" t="s">
        <v>1400</v>
      </c>
      <c r="E461" s="69">
        <v>100000</v>
      </c>
      <c r="G461" s="69">
        <v>-100000</v>
      </c>
    </row>
    <row r="462" spans="2:7" ht="15.75">
      <c r="B462" s="68">
        <v>12041107</v>
      </c>
      <c r="C462" s="69" t="s">
        <v>1401</v>
      </c>
      <c r="E462" s="69">
        <v>0</v>
      </c>
      <c r="G462" s="69">
        <v>-108032</v>
      </c>
    </row>
    <row r="463" spans="2:7" ht="15.75">
      <c r="B463" s="68">
        <v>13011002</v>
      </c>
      <c r="C463" s="69" t="s">
        <v>1402</v>
      </c>
      <c r="E463" s="69">
        <v>-18510</v>
      </c>
      <c r="G463" s="69">
        <v>11430</v>
      </c>
    </row>
    <row r="464" spans="2:7" ht="15.75">
      <c r="B464" s="68">
        <v>13011003</v>
      </c>
      <c r="C464" s="69" t="s">
        <v>1403</v>
      </c>
      <c r="E464" s="69">
        <v>44648</v>
      </c>
      <c r="G464" s="69">
        <v>3654</v>
      </c>
    </row>
    <row r="465" spans="2:7" ht="15.75">
      <c r="B465" s="68">
        <v>13011004</v>
      </c>
      <c r="C465" s="69" t="s">
        <v>1404</v>
      </c>
      <c r="E465" s="69">
        <v>2978</v>
      </c>
      <c r="G465" s="69">
        <v>-4403</v>
      </c>
    </row>
    <row r="466" spans="2:7" ht="15.75">
      <c r="B466" s="68">
        <v>13011009</v>
      </c>
      <c r="C466" s="69" t="s">
        <v>1405</v>
      </c>
      <c r="E466" s="69">
        <v>2193.96</v>
      </c>
      <c r="G466" s="69">
        <v>-2193.96</v>
      </c>
    </row>
    <row r="467" spans="2:7" ht="15.75">
      <c r="B467" s="68">
        <v>13011010</v>
      </c>
      <c r="C467" s="69" t="s">
        <v>1406</v>
      </c>
      <c r="E467" s="69">
        <v>444658</v>
      </c>
      <c r="G467" s="69">
        <v>-444658</v>
      </c>
    </row>
    <row r="468" spans="2:7" ht="15.75">
      <c r="B468" s="68">
        <v>13011011</v>
      </c>
      <c r="C468" s="69" t="s">
        <v>1407</v>
      </c>
      <c r="E468" s="69">
        <v>23035</v>
      </c>
      <c r="G468" s="69">
        <v>-23035</v>
      </c>
    </row>
    <row r="469" spans="2:7" ht="15.75">
      <c r="B469" s="68">
        <v>13011013</v>
      </c>
      <c r="C469" s="69" t="s">
        <v>1408</v>
      </c>
      <c r="E469" s="69">
        <f>16428-3482.4</f>
        <v>12945.6</v>
      </c>
      <c r="G469" s="69">
        <v>11125.4</v>
      </c>
    </row>
    <row r="470" spans="2:7" ht="15.75">
      <c r="B470" s="68">
        <v>13011014</v>
      </c>
      <c r="C470" s="69" t="s">
        <v>1409</v>
      </c>
      <c r="E470" s="69">
        <v>297135</v>
      </c>
      <c r="G470" s="69">
        <v>-297135</v>
      </c>
    </row>
    <row r="471" spans="2:7" ht="15.75">
      <c r="B471" s="68">
        <v>13011015</v>
      </c>
      <c r="C471" s="69" t="s">
        <v>1410</v>
      </c>
      <c r="E471" s="69">
        <v>6354</v>
      </c>
      <c r="G471" s="69">
        <v>-3849</v>
      </c>
    </row>
    <row r="472" spans="2:7" ht="15.75">
      <c r="B472" s="68">
        <v>13011016</v>
      </c>
      <c r="C472" s="69" t="s">
        <v>1411</v>
      </c>
      <c r="E472" s="69">
        <v>14006</v>
      </c>
      <c r="G472" s="69">
        <v>-14249</v>
      </c>
    </row>
    <row r="473" spans="2:7" ht="15.75">
      <c r="B473" s="68">
        <v>13011017</v>
      </c>
      <c r="C473" s="69" t="s">
        <v>1412</v>
      </c>
      <c r="E473" s="69">
        <v>5708.84</v>
      </c>
      <c r="G473" s="69">
        <v>-31043.39</v>
      </c>
    </row>
    <row r="474" spans="2:7" ht="15.75">
      <c r="B474" s="68">
        <v>13011018</v>
      </c>
      <c r="C474" s="69" t="s">
        <v>1413</v>
      </c>
      <c r="E474" s="69">
        <v>11307</v>
      </c>
      <c r="G474" s="69">
        <v>-6375</v>
      </c>
    </row>
    <row r="475" spans="2:7" ht="15.75">
      <c r="B475" s="68">
        <v>13011019</v>
      </c>
      <c r="C475" s="69" t="s">
        <v>1414</v>
      </c>
      <c r="E475" s="69">
        <v>155330</v>
      </c>
      <c r="G475" s="69">
        <v>-226036</v>
      </c>
    </row>
    <row r="476" spans="2:7" ht="15.75">
      <c r="B476" s="68">
        <v>13011020</v>
      </c>
      <c r="C476" s="69" t="s">
        <v>1415</v>
      </c>
      <c r="E476" s="69">
        <v>570759</v>
      </c>
      <c r="G476" s="148">
        <v>-209807</v>
      </c>
    </row>
    <row r="477" spans="2:7" ht="15.75">
      <c r="B477" s="68">
        <v>13011021</v>
      </c>
      <c r="C477" s="69" t="s">
        <v>1416</v>
      </c>
      <c r="E477" s="69">
        <v>-1210.5500000000002</v>
      </c>
      <c r="G477" s="69">
        <v>3292.17</v>
      </c>
    </row>
    <row r="478" spans="2:7" ht="15.75">
      <c r="B478" s="68">
        <v>13011022</v>
      </c>
      <c r="C478" s="69" t="s">
        <v>1417</v>
      </c>
      <c r="E478" s="69">
        <v>99170</v>
      </c>
      <c r="G478" s="69">
        <v>-80075</v>
      </c>
    </row>
    <row r="479" spans="2:7" ht="15.75">
      <c r="B479" s="68">
        <v>13011024</v>
      </c>
      <c r="C479" s="69" t="s">
        <v>1418</v>
      </c>
      <c r="E479" s="69">
        <v>143</v>
      </c>
      <c r="G479" s="69">
        <v>-143</v>
      </c>
    </row>
    <row r="480" spans="2:7" ht="15.75">
      <c r="B480" s="68">
        <v>13011028</v>
      </c>
      <c r="C480" s="69" t="s">
        <v>1419</v>
      </c>
      <c r="E480" s="69">
        <v>18624</v>
      </c>
      <c r="G480" s="69">
        <v>-18624</v>
      </c>
    </row>
    <row r="481" spans="2:7" ht="15.75">
      <c r="B481" s="68">
        <v>13011030</v>
      </c>
      <c r="C481" s="69" t="s">
        <v>1420</v>
      </c>
      <c r="E481" s="69">
        <v>1400</v>
      </c>
      <c r="G481" s="69">
        <v>-6750</v>
      </c>
    </row>
    <row r="482" spans="2:7" ht="15.75">
      <c r="B482" s="68">
        <v>13011031</v>
      </c>
      <c r="C482" s="69" t="s">
        <v>1421</v>
      </c>
      <c r="E482" s="69">
        <v>41943</v>
      </c>
      <c r="G482" s="69">
        <v>-20282.9</v>
      </c>
    </row>
    <row r="483" spans="2:7" ht="15.75">
      <c r="B483" s="68">
        <v>13011033</v>
      </c>
      <c r="C483" s="69" t="s">
        <v>1422</v>
      </c>
      <c r="E483" s="69"/>
      <c r="G483" s="69">
        <v>-1151</v>
      </c>
    </row>
    <row r="484" spans="2:7" ht="15.75">
      <c r="B484" s="68">
        <v>13011039</v>
      </c>
      <c r="C484" s="69" t="s">
        <v>1423</v>
      </c>
      <c r="E484" s="69"/>
      <c r="G484" s="69">
        <v>-876</v>
      </c>
    </row>
    <row r="485" spans="2:7" ht="15.75">
      <c r="B485" s="68">
        <v>13011048</v>
      </c>
      <c r="C485" s="69" t="s">
        <v>1424</v>
      </c>
      <c r="E485" s="69"/>
      <c r="G485" s="69">
        <v>-6100</v>
      </c>
    </row>
    <row r="486" spans="2:7" ht="15.75">
      <c r="B486" s="68">
        <v>13011049</v>
      </c>
      <c r="C486" s="69" t="s">
        <v>1425</v>
      </c>
      <c r="E486" s="69"/>
      <c r="G486" s="69">
        <v>-15978</v>
      </c>
    </row>
    <row r="487" spans="2:7" ht="15.75">
      <c r="B487" s="68">
        <v>13011051</v>
      </c>
      <c r="C487" s="69" t="s">
        <v>1426</v>
      </c>
      <c r="E487" s="69"/>
      <c r="G487" s="69">
        <v>-141963.3</v>
      </c>
    </row>
    <row r="488" spans="2:7" ht="15.75">
      <c r="B488" s="68">
        <v>13011061</v>
      </c>
      <c r="C488" s="69" t="s">
        <v>1427</v>
      </c>
      <c r="E488" s="69">
        <v>4921033</v>
      </c>
      <c r="G488" s="69">
        <v>-325000</v>
      </c>
    </row>
    <row r="489" spans="2:7" ht="15.75">
      <c r="B489" s="68">
        <v>13011062</v>
      </c>
      <c r="C489" s="69" t="s">
        <v>1428</v>
      </c>
      <c r="E489" s="69"/>
      <c r="G489" s="69">
        <v>-1320</v>
      </c>
    </row>
    <row r="490" spans="2:5" ht="15.75">
      <c r="B490" s="68" t="s">
        <v>1429</v>
      </c>
      <c r="C490" s="69" t="s">
        <v>1430</v>
      </c>
      <c r="E490" s="69">
        <v>53920</v>
      </c>
    </row>
    <row r="491" spans="2:7" ht="15.75">
      <c r="B491" s="68">
        <v>13011064</v>
      </c>
      <c r="C491" s="69" t="s">
        <v>1431</v>
      </c>
      <c r="E491" s="69">
        <v>4071</v>
      </c>
      <c r="G491" s="69">
        <v>-4071</v>
      </c>
    </row>
    <row r="492" spans="2:7" ht="15.75">
      <c r="B492" s="68">
        <v>13011068</v>
      </c>
      <c r="C492" s="69" t="s">
        <v>1432</v>
      </c>
      <c r="E492" s="69"/>
      <c r="G492" s="69">
        <v>-3360</v>
      </c>
    </row>
    <row r="493" spans="2:7" ht="15.75">
      <c r="B493" s="68">
        <v>13011073</v>
      </c>
      <c r="C493" s="69" t="s">
        <v>1433</v>
      </c>
      <c r="E493" s="69">
        <v>795.36</v>
      </c>
      <c r="G493" s="69">
        <v>-38.87</v>
      </c>
    </row>
    <row r="494" spans="2:7" ht="15.75">
      <c r="B494" s="68">
        <v>13011077</v>
      </c>
      <c r="C494" s="69" t="s">
        <v>1434</v>
      </c>
      <c r="E494" s="69"/>
      <c r="G494" s="69">
        <v>-35</v>
      </c>
    </row>
    <row r="495" spans="2:7" ht="15.75">
      <c r="B495" s="68">
        <v>13011084</v>
      </c>
      <c r="C495" s="69" t="s">
        <v>1435</v>
      </c>
      <c r="E495" s="69">
        <v>104685</v>
      </c>
      <c r="G495" s="69">
        <v>-32263</v>
      </c>
    </row>
    <row r="496" spans="2:5" ht="15.75">
      <c r="B496" s="68" t="s">
        <v>1436</v>
      </c>
      <c r="C496" s="69" t="s">
        <v>1437</v>
      </c>
      <c r="E496" s="69">
        <v>1000</v>
      </c>
    </row>
    <row r="497" spans="2:7" ht="15.75">
      <c r="B497" s="68">
        <v>13011100</v>
      </c>
      <c r="C497" s="69" t="s">
        <v>1438</v>
      </c>
      <c r="E497" s="69">
        <v>9425000</v>
      </c>
      <c r="G497" s="69">
        <v>-8873437</v>
      </c>
    </row>
    <row r="498" spans="2:7" ht="15.75">
      <c r="B498" s="68">
        <v>13011103</v>
      </c>
      <c r="C498" s="69" t="s">
        <v>1439</v>
      </c>
      <c r="E498" s="69">
        <v>200</v>
      </c>
      <c r="G498" s="69">
        <v>-200</v>
      </c>
    </row>
    <row r="499" spans="2:7" ht="15.75">
      <c r="B499" s="68">
        <v>13011105</v>
      </c>
      <c r="C499" s="69" t="s">
        <v>1440</v>
      </c>
      <c r="E499" s="69">
        <v>4314712</v>
      </c>
      <c r="G499" s="69">
        <v>-4514712</v>
      </c>
    </row>
    <row r="500" spans="2:7" ht="15.75">
      <c r="B500" s="68">
        <v>13011112</v>
      </c>
      <c r="C500" s="69" t="s">
        <v>1441</v>
      </c>
      <c r="E500" s="69"/>
      <c r="G500" s="69">
        <v>-22583</v>
      </c>
    </row>
    <row r="501" spans="2:7" ht="15.75">
      <c r="B501" s="68">
        <v>13011113</v>
      </c>
      <c r="C501" s="69" t="s">
        <v>1442</v>
      </c>
      <c r="E501" s="69">
        <v>4724</v>
      </c>
      <c r="G501" s="69">
        <v>1</v>
      </c>
    </row>
    <row r="502" spans="2:7" ht="15.75">
      <c r="B502" s="68">
        <v>13011114</v>
      </c>
      <c r="C502" s="69" t="s">
        <v>1443</v>
      </c>
      <c r="E502" s="69">
        <v>11650000</v>
      </c>
      <c r="G502" s="69">
        <v>-4467750</v>
      </c>
    </row>
    <row r="503" spans="2:7" ht="15.75">
      <c r="B503" s="68">
        <v>13011115</v>
      </c>
      <c r="C503" s="69" t="s">
        <v>1444</v>
      </c>
      <c r="E503" s="69">
        <v>13152000</v>
      </c>
      <c r="G503" s="69">
        <v>-4620000</v>
      </c>
    </row>
    <row r="504" spans="2:7" ht="15.75">
      <c r="B504" s="68">
        <v>13011117</v>
      </c>
      <c r="C504" s="69" t="s">
        <v>1445</v>
      </c>
      <c r="E504" s="69"/>
      <c r="G504" s="69">
        <v>-73500</v>
      </c>
    </row>
    <row r="505" spans="2:7" ht="15.75">
      <c r="B505" s="68" t="s">
        <v>1446</v>
      </c>
      <c r="C505" s="69" t="s">
        <v>1447</v>
      </c>
      <c r="E505" s="69">
        <v>50000</v>
      </c>
      <c r="G505" s="69">
        <v>0</v>
      </c>
    </row>
    <row r="506" spans="2:7" ht="15.75">
      <c r="B506" s="68" t="s">
        <v>1448</v>
      </c>
      <c r="C506" s="69" t="s">
        <v>1449</v>
      </c>
      <c r="E506" s="69">
        <v>48421</v>
      </c>
      <c r="G506" s="69">
        <v>-48421</v>
      </c>
    </row>
    <row r="507" spans="2:7" ht="15.75">
      <c r="B507" s="68" t="s">
        <v>1450</v>
      </c>
      <c r="C507" s="69" t="s">
        <v>1451</v>
      </c>
      <c r="E507" s="69">
        <v>138500</v>
      </c>
      <c r="G507" s="69">
        <v>-138500</v>
      </c>
    </row>
    <row r="508" spans="2:7" ht="15.75">
      <c r="B508" s="68" t="s">
        <v>1452</v>
      </c>
      <c r="C508" s="69" t="s">
        <v>1453</v>
      </c>
      <c r="E508" s="69">
        <v>52000</v>
      </c>
      <c r="G508" s="69">
        <v>-52000</v>
      </c>
    </row>
    <row r="509" spans="2:7" ht="15.75">
      <c r="B509" s="68" t="s">
        <v>495</v>
      </c>
      <c r="C509" s="69" t="s">
        <v>496</v>
      </c>
      <c r="E509" s="69"/>
      <c r="G509" s="69">
        <v>-15397</v>
      </c>
    </row>
    <row r="510" spans="2:7" ht="15.75">
      <c r="B510" s="68" t="s">
        <v>499</v>
      </c>
      <c r="C510" s="69" t="s">
        <v>500</v>
      </c>
      <c r="E510" s="69"/>
      <c r="G510" s="69">
        <v>-15397</v>
      </c>
    </row>
    <row r="511" spans="2:7" ht="15.75">
      <c r="B511" s="68" t="s">
        <v>1454</v>
      </c>
      <c r="C511" s="69" t="s">
        <v>1455</v>
      </c>
      <c r="E511" s="69">
        <v>64237</v>
      </c>
      <c r="G511" s="69">
        <v>-64237</v>
      </c>
    </row>
    <row r="512" spans="2:7" ht="15.75">
      <c r="B512" s="68" t="s">
        <v>1456</v>
      </c>
      <c r="C512" s="69" t="s">
        <v>1457</v>
      </c>
      <c r="E512" s="69">
        <v>94355</v>
      </c>
      <c r="G512" s="69">
        <v>-94355</v>
      </c>
    </row>
    <row r="513" spans="2:7" ht="15.75">
      <c r="B513" s="68" t="s">
        <v>1458</v>
      </c>
      <c r="C513" s="69" t="s">
        <v>1459</v>
      </c>
      <c r="E513" s="69">
        <v>20000</v>
      </c>
      <c r="G513" s="69">
        <v>-20000</v>
      </c>
    </row>
    <row r="514" spans="2:7" ht="15.75">
      <c r="B514" s="68" t="s">
        <v>1460</v>
      </c>
      <c r="C514" s="69" t="s">
        <v>1461</v>
      </c>
      <c r="E514" s="69">
        <v>231799</v>
      </c>
      <c r="G514" s="69">
        <v>-231799</v>
      </c>
    </row>
    <row r="515" spans="2:7" ht="15.75">
      <c r="B515" s="68" t="s">
        <v>1462</v>
      </c>
      <c r="C515" s="69" t="s">
        <v>1463</v>
      </c>
      <c r="E515" s="69">
        <v>115145</v>
      </c>
      <c r="G515" s="69">
        <v>-115145</v>
      </c>
    </row>
    <row r="516" spans="2:7" ht="15.75">
      <c r="B516" s="68" t="s">
        <v>1464</v>
      </c>
      <c r="C516" s="69" t="s">
        <v>1465</v>
      </c>
      <c r="E516" s="69">
        <v>139453</v>
      </c>
      <c r="G516" s="69">
        <v>-139453</v>
      </c>
    </row>
    <row r="517" spans="2:7" ht="15.75">
      <c r="B517" s="68" t="s">
        <v>1466</v>
      </c>
      <c r="C517" s="69" t="s">
        <v>1467</v>
      </c>
      <c r="E517" s="69">
        <v>16642</v>
      </c>
      <c r="G517" s="69">
        <v>-16642</v>
      </c>
    </row>
    <row r="518" spans="2:7" ht="15.75">
      <c r="B518" s="68" t="s">
        <v>1468</v>
      </c>
      <c r="C518" s="69" t="s">
        <v>1469</v>
      </c>
      <c r="E518" s="69">
        <v>51474</v>
      </c>
      <c r="G518" s="69">
        <v>-51474</v>
      </c>
    </row>
    <row r="519" spans="2:7" ht="15.75">
      <c r="B519" s="68" t="s">
        <v>1470</v>
      </c>
      <c r="C519" s="69" t="s">
        <v>1471</v>
      </c>
      <c r="E519" s="69">
        <v>7213</v>
      </c>
      <c r="G519" s="69">
        <v>-7213</v>
      </c>
    </row>
    <row r="520" spans="2:7" ht="15.75">
      <c r="B520" s="68" t="s">
        <v>1472</v>
      </c>
      <c r="C520" s="69" t="s">
        <v>1473</v>
      </c>
      <c r="E520" s="69">
        <v>162318</v>
      </c>
      <c r="G520" s="69">
        <v>-210298</v>
      </c>
    </row>
    <row r="521" spans="2:7" ht="15.75">
      <c r="B521" s="68" t="s">
        <v>1474</v>
      </c>
      <c r="C521" s="69" t="s">
        <v>1475</v>
      </c>
      <c r="E521" s="69">
        <v>4000</v>
      </c>
      <c r="G521" s="69">
        <v>-4000</v>
      </c>
    </row>
    <row r="522" spans="2:7" ht="15.75">
      <c r="B522" s="68" t="s">
        <v>1476</v>
      </c>
      <c r="C522" s="69" t="s">
        <v>1477</v>
      </c>
      <c r="E522" s="69">
        <v>242150</v>
      </c>
      <c r="G522" s="69">
        <v>-242150</v>
      </c>
    </row>
    <row r="523" spans="2:7" ht="15.75">
      <c r="B523" s="68" t="s">
        <v>507</v>
      </c>
      <c r="C523" s="69" t="s">
        <v>508</v>
      </c>
      <c r="E523" s="69">
        <v>7000</v>
      </c>
      <c r="G523" s="69">
        <v>-159020</v>
      </c>
    </row>
    <row r="524" spans="2:7" ht="15.75">
      <c r="B524" s="68" t="s">
        <v>1478</v>
      </c>
      <c r="C524" s="69" t="s">
        <v>1479</v>
      </c>
      <c r="E524" s="69">
        <v>37207</v>
      </c>
      <c r="G524" s="69">
        <v>-37207</v>
      </c>
    </row>
    <row r="525" spans="2:7" ht="15.75">
      <c r="B525" s="68" t="s">
        <v>1480</v>
      </c>
      <c r="C525" s="69" t="s">
        <v>1481</v>
      </c>
      <c r="E525" s="69">
        <v>20774</v>
      </c>
      <c r="G525" s="69">
        <v>-20774</v>
      </c>
    </row>
    <row r="526" spans="2:7" ht="15.75">
      <c r="B526" s="68" t="s">
        <v>1482</v>
      </c>
      <c r="C526" s="69" t="s">
        <v>1483</v>
      </c>
      <c r="E526" s="69">
        <v>46000</v>
      </c>
      <c r="G526" s="69">
        <v>-46000</v>
      </c>
    </row>
    <row r="527" spans="2:7" ht="15.75">
      <c r="B527" s="68" t="s">
        <v>1484</v>
      </c>
      <c r="C527" s="69" t="s">
        <v>1485</v>
      </c>
      <c r="E527" s="69">
        <v>20096</v>
      </c>
      <c r="G527" s="69">
        <v>-20096</v>
      </c>
    </row>
    <row r="528" spans="2:7" ht="15.75">
      <c r="B528" s="68" t="s">
        <v>1486</v>
      </c>
      <c r="C528" s="69" t="s">
        <v>1487</v>
      </c>
      <c r="E528" s="69">
        <v>47000</v>
      </c>
      <c r="G528" s="69">
        <v>-47000</v>
      </c>
    </row>
    <row r="529" spans="2:7" ht="15.75">
      <c r="B529" s="68" t="s">
        <v>1488</v>
      </c>
      <c r="C529" s="69" t="s">
        <v>1489</v>
      </c>
      <c r="E529" s="69">
        <v>98500</v>
      </c>
      <c r="G529" s="69">
        <v>-98500</v>
      </c>
    </row>
    <row r="530" spans="2:7" ht="15.75">
      <c r="B530" s="68" t="s">
        <v>1490</v>
      </c>
      <c r="C530" s="69" t="s">
        <v>1491</v>
      </c>
      <c r="E530" s="69">
        <v>175000</v>
      </c>
      <c r="G530" s="69">
        <v>-175000</v>
      </c>
    </row>
    <row r="531" spans="2:7" ht="15.75">
      <c r="B531" s="68" t="s">
        <v>1492</v>
      </c>
      <c r="C531" s="69" t="s">
        <v>1493</v>
      </c>
      <c r="E531" s="69">
        <v>64494</v>
      </c>
      <c r="G531" s="69">
        <v>-64494</v>
      </c>
    </row>
    <row r="532" spans="2:7" ht="15.75">
      <c r="B532" s="68" t="s">
        <v>511</v>
      </c>
      <c r="C532" s="69" t="s">
        <v>512</v>
      </c>
      <c r="E532" s="69"/>
      <c r="G532" s="69">
        <v>-6195</v>
      </c>
    </row>
    <row r="533" spans="2:7" ht="15.75">
      <c r="B533" s="68" t="s">
        <v>1494</v>
      </c>
      <c r="C533" s="69" t="s">
        <v>1495</v>
      </c>
      <c r="E533" s="69">
        <v>49500</v>
      </c>
      <c r="G533" s="69">
        <v>-49500</v>
      </c>
    </row>
    <row r="534" spans="2:7" ht="15.75">
      <c r="B534" s="68" t="s">
        <v>1496</v>
      </c>
      <c r="C534" s="69" t="s">
        <v>1497</v>
      </c>
      <c r="E534" s="69">
        <v>1079</v>
      </c>
      <c r="G534" s="69">
        <v>-1079</v>
      </c>
    </row>
    <row r="535" spans="2:7" ht="15.75">
      <c r="B535" s="68" t="s">
        <v>1498</v>
      </c>
      <c r="C535" s="69" t="s">
        <v>1499</v>
      </c>
      <c r="E535" s="69">
        <v>48500</v>
      </c>
      <c r="G535" s="69">
        <v>-48500</v>
      </c>
    </row>
    <row r="536" spans="2:7" ht="15.75">
      <c r="B536" s="68" t="s">
        <v>1500</v>
      </c>
      <c r="C536" s="69" t="s">
        <v>1501</v>
      </c>
      <c r="E536" s="69">
        <v>47000</v>
      </c>
      <c r="G536" s="69">
        <v>-47000</v>
      </c>
    </row>
    <row r="537" spans="2:7" ht="15.75">
      <c r="B537" s="68" t="s">
        <v>1502</v>
      </c>
      <c r="C537" s="69" t="s">
        <v>1503</v>
      </c>
      <c r="E537" s="69">
        <v>165174</v>
      </c>
      <c r="G537" s="69">
        <v>-270000</v>
      </c>
    </row>
    <row r="538" spans="2:7" ht="15.75">
      <c r="B538" s="68" t="s">
        <v>1504</v>
      </c>
      <c r="C538" s="69" t="s">
        <v>1505</v>
      </c>
      <c r="E538" s="69">
        <v>114967</v>
      </c>
      <c r="G538" s="69">
        <v>-265000</v>
      </c>
    </row>
    <row r="539" spans="2:7" ht="15.75">
      <c r="B539" s="68" t="s">
        <v>1506</v>
      </c>
      <c r="C539" s="69" t="s">
        <v>1507</v>
      </c>
      <c r="E539" s="69">
        <v>56000</v>
      </c>
      <c r="G539" s="69">
        <v>-56000</v>
      </c>
    </row>
    <row r="540" spans="2:7" ht="15.75">
      <c r="B540" s="68" t="s">
        <v>1508</v>
      </c>
      <c r="C540" s="69" t="s">
        <v>1509</v>
      </c>
      <c r="E540" s="69">
        <v>96500</v>
      </c>
      <c r="G540" s="69">
        <v>-96500</v>
      </c>
    </row>
    <row r="541" spans="2:7" ht="15.75">
      <c r="B541" s="68" t="s">
        <v>1510</v>
      </c>
      <c r="C541" s="69" t="s">
        <v>1511</v>
      </c>
      <c r="E541" s="69">
        <v>91000</v>
      </c>
      <c r="G541" s="69">
        <v>-91000</v>
      </c>
    </row>
    <row r="542" spans="2:7" ht="15.75">
      <c r="B542" s="68" t="s">
        <v>1512</v>
      </c>
      <c r="C542" s="69" t="s">
        <v>1513</v>
      </c>
      <c r="E542" s="69">
        <v>47545</v>
      </c>
      <c r="G542" s="69">
        <v>-270000</v>
      </c>
    </row>
    <row r="543" spans="2:7" ht="15.75">
      <c r="B543" s="68" t="s">
        <v>1514</v>
      </c>
      <c r="C543" s="69" t="s">
        <v>1515</v>
      </c>
      <c r="E543" s="69">
        <v>142000</v>
      </c>
      <c r="G543" s="69">
        <v>-142000</v>
      </c>
    </row>
    <row r="544" spans="2:7" ht="15.75">
      <c r="B544" s="68" t="s">
        <v>1516</v>
      </c>
      <c r="C544" s="69" t="s">
        <v>1517</v>
      </c>
      <c r="E544" s="69">
        <v>94000</v>
      </c>
      <c r="G544" s="69">
        <v>-94000</v>
      </c>
    </row>
    <row r="545" spans="2:7" ht="15.75">
      <c r="B545" s="68" t="s">
        <v>1518</v>
      </c>
      <c r="C545" s="69" t="s">
        <v>1519</v>
      </c>
      <c r="E545" s="69">
        <v>94000</v>
      </c>
      <c r="G545" s="69">
        <v>-94000</v>
      </c>
    </row>
    <row r="546" spans="2:7" ht="15.75">
      <c r="B546" s="68" t="s">
        <v>1520</v>
      </c>
      <c r="C546" s="69" t="s">
        <v>1521</v>
      </c>
      <c r="E546" s="69">
        <v>138000</v>
      </c>
      <c r="G546" s="69">
        <v>-138000</v>
      </c>
    </row>
    <row r="547" spans="2:7" ht="15.75">
      <c r="B547" s="68" t="s">
        <v>519</v>
      </c>
      <c r="C547" s="69" t="s">
        <v>520</v>
      </c>
      <c r="E547" s="69">
        <v>0</v>
      </c>
      <c r="G547" s="69">
        <v>-45606</v>
      </c>
    </row>
    <row r="548" spans="2:7" ht="15.75">
      <c r="B548" s="68" t="s">
        <v>521</v>
      </c>
      <c r="C548" s="69" t="s">
        <v>522</v>
      </c>
      <c r="E548" s="69">
        <v>0</v>
      </c>
      <c r="G548" s="69">
        <v>-20000</v>
      </c>
    </row>
    <row r="549" spans="2:7" ht="15.75">
      <c r="B549" s="68" t="s">
        <v>525</v>
      </c>
      <c r="C549" s="69" t="s">
        <v>526</v>
      </c>
      <c r="E549" s="69"/>
      <c r="G549" s="69">
        <v>-1015</v>
      </c>
    </row>
    <row r="550" spans="2:7" ht="15.75">
      <c r="B550" s="68" t="s">
        <v>1522</v>
      </c>
      <c r="C550" s="69" t="s">
        <v>1523</v>
      </c>
      <c r="E550" s="69">
        <v>91812</v>
      </c>
      <c r="G550" s="69">
        <v>-91812</v>
      </c>
    </row>
    <row r="551" spans="2:7" ht="15.75">
      <c r="B551" s="68" t="s">
        <v>1524</v>
      </c>
      <c r="C551" s="69" t="s">
        <v>1525</v>
      </c>
      <c r="E551" s="69">
        <v>91141</v>
      </c>
      <c r="G551" s="69">
        <v>-91141</v>
      </c>
    </row>
    <row r="552" spans="2:7" ht="15.75">
      <c r="B552" s="68" t="s">
        <v>1526</v>
      </c>
      <c r="C552" s="69" t="s">
        <v>1527</v>
      </c>
      <c r="E552" s="69">
        <v>135500</v>
      </c>
      <c r="G552" s="69">
        <v>-135500</v>
      </c>
    </row>
    <row r="553" spans="2:7" ht="15.75">
      <c r="B553" s="68" t="s">
        <v>1528</v>
      </c>
      <c r="C553" s="69" t="s">
        <v>1529</v>
      </c>
      <c r="E553" s="69">
        <v>34642</v>
      </c>
      <c r="G553" s="69">
        <v>-34642</v>
      </c>
    </row>
    <row r="554" spans="2:7" ht="15.75">
      <c r="B554" s="68" t="s">
        <v>1530</v>
      </c>
      <c r="C554" s="69" t="s">
        <v>1531</v>
      </c>
      <c r="E554" s="69">
        <v>29045</v>
      </c>
      <c r="G554" s="69">
        <v>-29045</v>
      </c>
    </row>
    <row r="555" spans="2:7" ht="15.75">
      <c r="B555" s="68" t="s">
        <v>1532</v>
      </c>
      <c r="C555" s="69" t="s">
        <v>1533</v>
      </c>
      <c r="E555" s="69">
        <v>40989</v>
      </c>
      <c r="G555" s="69">
        <v>-40989</v>
      </c>
    </row>
    <row r="556" spans="2:7" ht="15.75">
      <c r="B556" s="68" t="s">
        <v>1534</v>
      </c>
      <c r="C556" s="69" t="s">
        <v>1535</v>
      </c>
      <c r="E556" s="69">
        <v>57200</v>
      </c>
      <c r="G556" s="69">
        <v>-57200</v>
      </c>
    </row>
    <row r="557" spans="2:7" ht="15.75">
      <c r="B557" s="68" t="s">
        <v>1536</v>
      </c>
      <c r="C557" s="69" t="s">
        <v>1537</v>
      </c>
      <c r="E557" s="69">
        <v>20000</v>
      </c>
      <c r="G557" s="69">
        <v>-20000</v>
      </c>
    </row>
    <row r="558" spans="2:7" ht="15.75">
      <c r="B558" s="68" t="s">
        <v>1538</v>
      </c>
      <c r="C558" s="69" t="s">
        <v>1539</v>
      </c>
      <c r="E558" s="69">
        <v>143000</v>
      </c>
      <c r="G558" s="69">
        <v>-143000</v>
      </c>
    </row>
    <row r="559" spans="2:7" ht="15.75">
      <c r="B559" s="68" t="s">
        <v>1540</v>
      </c>
      <c r="C559" s="69" t="s">
        <v>1541</v>
      </c>
      <c r="E559" s="69">
        <v>136000</v>
      </c>
      <c r="G559" s="69">
        <v>-136000</v>
      </c>
    </row>
    <row r="560" spans="2:7" ht="15.75">
      <c r="B560" s="68" t="s">
        <v>1542</v>
      </c>
      <c r="C560" s="69" t="s">
        <v>1543</v>
      </c>
      <c r="E560" s="69">
        <v>93000</v>
      </c>
      <c r="G560" s="69">
        <v>-93000</v>
      </c>
    </row>
    <row r="561" spans="2:7" ht="15.75">
      <c r="B561" s="68" t="s">
        <v>1544</v>
      </c>
      <c r="C561" s="69" t="s">
        <v>1545</v>
      </c>
      <c r="E561" s="69">
        <v>88000</v>
      </c>
      <c r="G561" s="69">
        <v>-88000</v>
      </c>
    </row>
    <row r="562" spans="2:7" ht="15.75">
      <c r="B562" s="68" t="s">
        <v>1546</v>
      </c>
      <c r="C562" s="69" t="s">
        <v>1547</v>
      </c>
      <c r="E562" s="69">
        <v>8192</v>
      </c>
      <c r="G562" s="69">
        <v>-8192</v>
      </c>
    </row>
    <row r="563" spans="2:7" ht="15.75">
      <c r="B563" s="68" t="s">
        <v>388</v>
      </c>
      <c r="C563" s="69" t="s">
        <v>389</v>
      </c>
      <c r="E563" s="69">
        <v>394712.63</v>
      </c>
      <c r="G563" s="69">
        <v>-492799.63</v>
      </c>
    </row>
    <row r="564" spans="2:7" ht="15.75">
      <c r="B564" s="68" t="s">
        <v>1548</v>
      </c>
      <c r="C564" s="69" t="s">
        <v>1549</v>
      </c>
      <c r="E564" s="69"/>
      <c r="G564" s="69">
        <v>-1</v>
      </c>
    </row>
    <row r="565" spans="2:5" ht="15.75">
      <c r="B565" s="68" t="s">
        <v>1550</v>
      </c>
      <c r="C565" s="69" t="s">
        <v>1551</v>
      </c>
      <c r="E565" s="69">
        <v>555000</v>
      </c>
    </row>
    <row r="566" spans="2:7" ht="15.75">
      <c r="B566" s="68" t="s">
        <v>1552</v>
      </c>
      <c r="C566" s="69" t="s">
        <v>431</v>
      </c>
      <c r="E566" s="69">
        <v>28965</v>
      </c>
      <c r="G566" s="69">
        <v>-28965</v>
      </c>
    </row>
    <row r="567" spans="2:7" ht="15.75">
      <c r="B567" s="68" t="s">
        <v>1553</v>
      </c>
      <c r="C567" s="69" t="s">
        <v>441</v>
      </c>
      <c r="E567" s="69">
        <v>528000</v>
      </c>
      <c r="G567" s="69">
        <v>-528000</v>
      </c>
    </row>
    <row r="568" spans="2:7" ht="15.75">
      <c r="B568" s="68" t="s">
        <v>1554</v>
      </c>
      <c r="C568" s="69" t="s">
        <v>1555</v>
      </c>
      <c r="E568" s="69">
        <v>390196.94</v>
      </c>
      <c r="G568" s="69">
        <v>-390196.94</v>
      </c>
    </row>
    <row r="569" spans="2:7" ht="15.75">
      <c r="B569" s="68" t="s">
        <v>398</v>
      </c>
      <c r="C569" s="69" t="s">
        <v>399</v>
      </c>
      <c r="E569" s="69">
        <v>0</v>
      </c>
      <c r="G569" s="69">
        <v>-56745</v>
      </c>
    </row>
    <row r="570" spans="2:7" ht="15.75">
      <c r="B570" s="68" t="s">
        <v>400</v>
      </c>
      <c r="C570" s="69" t="s">
        <v>401</v>
      </c>
      <c r="E570" s="69">
        <v>141621</v>
      </c>
      <c r="G570" s="69">
        <v>-418737</v>
      </c>
    </row>
    <row r="571" spans="2:7" ht="15.75">
      <c r="B571" s="68" t="s">
        <v>1556</v>
      </c>
      <c r="C571" s="69" t="s">
        <v>1557</v>
      </c>
      <c r="E571" s="69">
        <v>112583.33</v>
      </c>
      <c r="G571" s="69">
        <v>-112583.33</v>
      </c>
    </row>
    <row r="572" spans="2:7" ht="15.75">
      <c r="B572" s="68" t="s">
        <v>1558</v>
      </c>
      <c r="C572" s="69" t="s">
        <v>1559</v>
      </c>
      <c r="E572" s="69">
        <v>60716</v>
      </c>
      <c r="G572" s="69">
        <v>-60716</v>
      </c>
    </row>
    <row r="573" spans="2:7" ht="15.75">
      <c r="B573" s="68" t="s">
        <v>430</v>
      </c>
      <c r="C573" s="69" t="s">
        <v>431</v>
      </c>
      <c r="E573" s="69"/>
      <c r="G573" s="69">
        <v>-1093927</v>
      </c>
    </row>
    <row r="574" spans="2:7" ht="15.75">
      <c r="B574" s="68" t="s">
        <v>1560</v>
      </c>
      <c r="C574" s="69" t="s">
        <v>1561</v>
      </c>
      <c r="E574" s="69">
        <v>289429</v>
      </c>
      <c r="G574" s="69">
        <v>-289429</v>
      </c>
    </row>
    <row r="575" spans="2:7" ht="15.75">
      <c r="B575" s="68" t="s">
        <v>1562</v>
      </c>
      <c r="C575" s="69" t="s">
        <v>1563</v>
      </c>
      <c r="E575" s="69">
        <v>255000</v>
      </c>
      <c r="G575" s="69">
        <v>-255000</v>
      </c>
    </row>
    <row r="576" spans="2:5" ht="15.75">
      <c r="B576" s="68" t="s">
        <v>1564</v>
      </c>
      <c r="C576" s="69" t="s">
        <v>1565</v>
      </c>
      <c r="E576" s="69">
        <v>7682</v>
      </c>
    </row>
    <row r="577" spans="2:7" ht="15.75">
      <c r="B577" s="68" t="s">
        <v>440</v>
      </c>
      <c r="C577" s="69" t="s">
        <v>441</v>
      </c>
      <c r="E577" s="69"/>
      <c r="G577" s="69">
        <v>-136443</v>
      </c>
    </row>
    <row r="578" spans="2:7" ht="15.75">
      <c r="B578" s="68" t="s">
        <v>406</v>
      </c>
      <c r="C578" s="69" t="s">
        <v>407</v>
      </c>
      <c r="E578" s="69"/>
      <c r="G578" s="69">
        <v>-639712</v>
      </c>
    </row>
    <row r="579" spans="2:7" ht="15.75">
      <c r="B579" s="68" t="s">
        <v>408</v>
      </c>
      <c r="C579" s="69" t="s">
        <v>409</v>
      </c>
      <c r="E579" s="69"/>
      <c r="G579" s="69">
        <v>-631692</v>
      </c>
    </row>
    <row r="580" spans="2:7" ht="15.75">
      <c r="B580" s="68" t="s">
        <v>446</v>
      </c>
      <c r="C580" s="69" t="s">
        <v>447</v>
      </c>
      <c r="E580" s="69"/>
      <c r="G580" s="69">
        <v>-519105</v>
      </c>
    </row>
    <row r="581" spans="2:7" ht="15.75">
      <c r="B581" s="68" t="s">
        <v>1566</v>
      </c>
      <c r="C581" s="69" t="s">
        <v>1567</v>
      </c>
      <c r="E581" s="69"/>
      <c r="G581" s="69">
        <v>-0.57</v>
      </c>
    </row>
    <row r="582" spans="2:5" ht="15.75">
      <c r="B582" s="68" t="s">
        <v>1568</v>
      </c>
      <c r="C582" s="69" t="s">
        <v>1569</v>
      </c>
      <c r="E582" s="69">
        <v>374673</v>
      </c>
    </row>
    <row r="583" spans="2:7" ht="15.75">
      <c r="B583" s="68" t="s">
        <v>452</v>
      </c>
      <c r="C583" s="69" t="s">
        <v>453</v>
      </c>
      <c r="E583" s="69"/>
      <c r="G583" s="69">
        <v>-64832.25</v>
      </c>
    </row>
    <row r="584" spans="2:7" ht="15.75">
      <c r="B584" s="68" t="s">
        <v>1570</v>
      </c>
      <c r="C584" s="69" t="s">
        <v>1571</v>
      </c>
      <c r="E584" s="69"/>
      <c r="G584" s="69">
        <v>-11</v>
      </c>
    </row>
    <row r="585" spans="2:7" ht="15.75">
      <c r="B585" s="68" t="s">
        <v>1572</v>
      </c>
      <c r="C585" s="69" t="s">
        <v>1573</v>
      </c>
      <c r="E585" s="69"/>
      <c r="G585" s="69">
        <v>-1</v>
      </c>
    </row>
    <row r="586" spans="2:7" ht="15.75">
      <c r="B586" s="68" t="s">
        <v>1574</v>
      </c>
      <c r="C586" s="69" t="s">
        <v>1575</v>
      </c>
      <c r="E586" s="69"/>
      <c r="G586" s="69">
        <v>-1</v>
      </c>
    </row>
    <row r="587" spans="2:7" ht="15.75">
      <c r="B587" s="68" t="s">
        <v>1576</v>
      </c>
      <c r="C587" s="69" t="s">
        <v>947</v>
      </c>
      <c r="E587" s="69">
        <v>209000</v>
      </c>
      <c r="G587" s="69">
        <v>-130000</v>
      </c>
    </row>
    <row r="588" spans="2:7" ht="15.75">
      <c r="B588" s="68" t="s">
        <v>1577</v>
      </c>
      <c r="C588" s="69" t="s">
        <v>1578</v>
      </c>
      <c r="E588" s="69">
        <v>260000</v>
      </c>
      <c r="G588" s="69">
        <v>-260000</v>
      </c>
    </row>
    <row r="589" spans="2:7" ht="15.75">
      <c r="B589" s="68" t="s">
        <v>1579</v>
      </c>
      <c r="C589" s="69" t="s">
        <v>1580</v>
      </c>
      <c r="E589" s="69">
        <v>260000</v>
      </c>
      <c r="G589" s="69">
        <v>-260000</v>
      </c>
    </row>
    <row r="590" spans="2:5" ht="15.75">
      <c r="B590" s="68" t="s">
        <v>468</v>
      </c>
      <c r="C590" s="69" t="s">
        <v>469</v>
      </c>
      <c r="E590" s="69">
        <v>599</v>
      </c>
    </row>
    <row r="591" spans="2:7" ht="15.75">
      <c r="B591" s="68" t="s">
        <v>470</v>
      </c>
      <c r="C591" s="69" t="s">
        <v>471</v>
      </c>
      <c r="E591" s="69"/>
      <c r="G591" s="69">
        <v>-159560.25</v>
      </c>
    </row>
    <row r="592" spans="2:5" ht="15.75">
      <c r="B592" s="68" t="s">
        <v>1581</v>
      </c>
      <c r="C592" s="69" t="s">
        <v>1582</v>
      </c>
      <c r="E592" s="69">
        <v>132</v>
      </c>
    </row>
    <row r="593" spans="2:7" ht="15.75">
      <c r="B593" s="68" t="s">
        <v>1583</v>
      </c>
      <c r="C593" s="69" t="s">
        <v>1584</v>
      </c>
      <c r="E593" s="69">
        <v>5804</v>
      </c>
      <c r="G593" s="69">
        <v>-5804</v>
      </c>
    </row>
    <row r="594" spans="2:7" ht="15.75">
      <c r="B594" s="68" t="s">
        <v>472</v>
      </c>
      <c r="C594" s="69" t="s">
        <v>473</v>
      </c>
      <c r="E594" s="69"/>
      <c r="G594" s="69">
        <v>-872297</v>
      </c>
    </row>
    <row r="595" spans="2:7" ht="15.75">
      <c r="B595" s="68" t="s">
        <v>1585</v>
      </c>
      <c r="C595" s="69" t="s">
        <v>1586</v>
      </c>
      <c r="E595" s="69">
        <v>740</v>
      </c>
      <c r="G595" s="69">
        <v>-740</v>
      </c>
    </row>
    <row r="596" spans="2:7" ht="15.75">
      <c r="B596" s="68" t="s">
        <v>1587</v>
      </c>
      <c r="C596" s="69" t="s">
        <v>1588</v>
      </c>
      <c r="E596" s="69">
        <v>3255</v>
      </c>
      <c r="G596" s="69">
        <v>-3255</v>
      </c>
    </row>
    <row r="597" spans="2:5" ht="15.75">
      <c r="B597" s="68" t="s">
        <v>414</v>
      </c>
      <c r="C597" s="69" t="s">
        <v>415</v>
      </c>
      <c r="E597" s="69">
        <v>17005</v>
      </c>
    </row>
    <row r="598" spans="2:5" ht="15.75">
      <c r="B598" s="68" t="s">
        <v>1589</v>
      </c>
      <c r="C598" s="69" t="s">
        <v>1590</v>
      </c>
      <c r="E598" s="69">
        <v>9318</v>
      </c>
    </row>
    <row r="599" spans="2:7" ht="15.75">
      <c r="B599" s="68" t="s">
        <v>1591</v>
      </c>
      <c r="C599" s="69" t="s">
        <v>1592</v>
      </c>
      <c r="E599" s="69">
        <v>13935</v>
      </c>
      <c r="G599" s="69">
        <v>-13935</v>
      </c>
    </row>
    <row r="600" spans="2:5" ht="15.75">
      <c r="B600" s="68" t="s">
        <v>1593</v>
      </c>
      <c r="C600" s="69" t="s">
        <v>1594</v>
      </c>
      <c r="E600" s="69">
        <v>25057</v>
      </c>
    </row>
    <row r="601" spans="2:7" ht="15.75">
      <c r="B601" s="68" t="s">
        <v>1595</v>
      </c>
      <c r="C601" s="69" t="s">
        <v>1596</v>
      </c>
      <c r="E601" s="69">
        <v>6861</v>
      </c>
      <c r="G601" s="69">
        <v>-81648</v>
      </c>
    </row>
    <row r="602" spans="2:7" ht="15.75">
      <c r="B602" s="68" t="s">
        <v>478</v>
      </c>
      <c r="C602" s="69" t="s">
        <v>479</v>
      </c>
      <c r="E602" s="69">
        <v>81264</v>
      </c>
      <c r="G602" s="69">
        <v>-931559</v>
      </c>
    </row>
    <row r="603" spans="2:7" ht="15.75">
      <c r="B603" s="68" t="s">
        <v>1597</v>
      </c>
      <c r="C603" s="69" t="s">
        <v>1598</v>
      </c>
      <c r="E603" s="69">
        <v>20161</v>
      </c>
      <c r="G603" s="69">
        <v>-20161</v>
      </c>
    </row>
    <row r="604" spans="2:7" ht="15.75">
      <c r="B604" s="68" t="s">
        <v>1599</v>
      </c>
      <c r="C604" s="69" t="s">
        <v>1600</v>
      </c>
      <c r="E604" s="69">
        <v>22163</v>
      </c>
      <c r="G604" s="69">
        <v>-22163</v>
      </c>
    </row>
    <row r="605" spans="2:5" ht="15.75">
      <c r="B605" s="68" t="s">
        <v>480</v>
      </c>
      <c r="C605" s="69" t="s">
        <v>481</v>
      </c>
      <c r="E605" s="69">
        <v>307</v>
      </c>
    </row>
    <row r="606" spans="2:5" ht="15.75">
      <c r="B606" s="68" t="s">
        <v>1601</v>
      </c>
      <c r="C606" s="69" t="s">
        <v>1602</v>
      </c>
      <c r="E606" s="69">
        <v>1051</v>
      </c>
    </row>
    <row r="607" spans="2:5" ht="15.75">
      <c r="B607" s="68" t="s">
        <v>1603</v>
      </c>
      <c r="C607" s="69" t="s">
        <v>1604</v>
      </c>
      <c r="E607" s="69">
        <v>33691</v>
      </c>
    </row>
    <row r="608" spans="2:7" ht="15.75">
      <c r="B608" s="68" t="s">
        <v>1605</v>
      </c>
      <c r="C608" s="69" t="s">
        <v>1606</v>
      </c>
      <c r="E608" s="69">
        <v>68753.54</v>
      </c>
      <c r="G608" s="69">
        <v>-92173</v>
      </c>
    </row>
    <row r="609" spans="2:7" ht="15.75">
      <c r="B609" s="68" t="s">
        <v>1607</v>
      </c>
      <c r="C609" s="69" t="s">
        <v>1608</v>
      </c>
      <c r="E609" s="69">
        <v>614</v>
      </c>
      <c r="G609" s="69">
        <v>-614</v>
      </c>
    </row>
    <row r="610" spans="2:7" ht="15.75">
      <c r="B610" s="68" t="s">
        <v>1609</v>
      </c>
      <c r="C610" s="69" t="s">
        <v>1610</v>
      </c>
      <c r="E610" s="69">
        <v>577</v>
      </c>
      <c r="G610" s="69">
        <v>-577</v>
      </c>
    </row>
    <row r="611" spans="2:7" ht="15.75">
      <c r="B611" s="68" t="s">
        <v>489</v>
      </c>
      <c r="C611" s="69" t="s">
        <v>490</v>
      </c>
      <c r="E611" s="69"/>
      <c r="G611" s="69">
        <v>-27</v>
      </c>
    </row>
    <row r="612" spans="2:9" ht="15.75">
      <c r="B612" s="68" t="s">
        <v>1611</v>
      </c>
      <c r="C612" s="69" t="s">
        <v>1612</v>
      </c>
      <c r="E612" s="69">
        <v>11284</v>
      </c>
      <c r="G612" s="69">
        <v>-11284</v>
      </c>
      <c r="I612" s="69">
        <v>1228101055.83</v>
      </c>
    </row>
    <row r="613" spans="2:9" ht="15.75">
      <c r="B613" s="68" t="s">
        <v>1613</v>
      </c>
      <c r="C613" s="69" t="s">
        <v>1614</v>
      </c>
      <c r="E613" s="69">
        <v>4686</v>
      </c>
      <c r="G613" s="69">
        <v>-2171</v>
      </c>
      <c r="I613" s="69">
        <f>+I612-8850166.96-242645426.02-176122253.73-642037301.46</f>
        <v>158445907.65999985</v>
      </c>
    </row>
    <row r="614" spans="2:5" ht="15.75">
      <c r="B614" s="68" t="s">
        <v>1615</v>
      </c>
      <c r="C614" s="69" t="s">
        <v>1616</v>
      </c>
      <c r="E614" s="69">
        <v>1075</v>
      </c>
    </row>
    <row r="615" spans="2:7" ht="15.75">
      <c r="B615" s="68" t="s">
        <v>1617</v>
      </c>
      <c r="C615" s="69" t="s">
        <v>1618</v>
      </c>
      <c r="E615" s="69">
        <v>2510</v>
      </c>
      <c r="G615" s="69">
        <v>-2510</v>
      </c>
    </row>
    <row r="616" spans="2:7" ht="15.75">
      <c r="B616" s="68" t="s">
        <v>1619</v>
      </c>
      <c r="C616" s="69" t="s">
        <v>1620</v>
      </c>
      <c r="E616" s="69">
        <v>365</v>
      </c>
      <c r="G616" s="69">
        <v>-365</v>
      </c>
    </row>
    <row r="618" ht="15.75">
      <c r="H618" s="69">
        <f>-G622+G620+G621</f>
        <v>-43211483.28</v>
      </c>
    </row>
    <row r="619" ht="15.75">
      <c r="C619" s="125" t="s">
        <v>1621</v>
      </c>
    </row>
    <row r="620" spans="2:9" ht="15.75">
      <c r="B620" s="68">
        <v>10011018</v>
      </c>
      <c r="D620" s="69" t="s">
        <v>552</v>
      </c>
      <c r="G620" s="69">
        <v>-225066.27</v>
      </c>
      <c r="I620" s="69">
        <f>43143505-G622</f>
        <v>173041.0300000012</v>
      </c>
    </row>
    <row r="621" spans="2:7" ht="15.75">
      <c r="B621" s="68">
        <v>10011024</v>
      </c>
      <c r="D621" s="69" t="s">
        <v>554</v>
      </c>
      <c r="G621" s="69">
        <v>-15953.04</v>
      </c>
    </row>
    <row r="622" spans="5:9" ht="16.5" thickBot="1">
      <c r="E622" s="131">
        <f>SUM(E452:E621)</f>
        <v>55580108.65</v>
      </c>
      <c r="G622" s="170">
        <f>-SUM(G452:G621)</f>
        <v>42970463.97</v>
      </c>
      <c r="H622" s="69" t="s">
        <v>1622</v>
      </c>
      <c r="I622" s="69">
        <f>-19200000*0</f>
        <v>0</v>
      </c>
    </row>
    <row r="623" spans="8:9" ht="16.5" thickTop="1">
      <c r="H623" s="69" t="s">
        <v>1623</v>
      </c>
      <c r="I623" s="69">
        <f>-16500000*0</f>
        <v>0</v>
      </c>
    </row>
    <row r="624" spans="5:9" ht="15.75">
      <c r="E624" s="121" t="s">
        <v>67</v>
      </c>
      <c r="H624" s="69" t="s">
        <v>46</v>
      </c>
      <c r="I624" s="69">
        <v>-43245463.97</v>
      </c>
    </row>
    <row r="625" ht="16.5" thickBot="1">
      <c r="I625" s="131">
        <f>SUM(I622:I624)</f>
        <v>-43245463.97</v>
      </c>
    </row>
    <row r="626" ht="16.5" thickTop="1">
      <c r="E626" s="121" t="s">
        <v>67</v>
      </c>
    </row>
    <row r="627" spans="2:8" ht="15.75">
      <c r="B627" s="138" t="s">
        <v>1624</v>
      </c>
      <c r="C627" s="125" t="s">
        <v>1641</v>
      </c>
      <c r="H627" s="69" t="s">
        <v>67</v>
      </c>
    </row>
    <row r="628" spans="2:7" ht="16.5" thickBot="1">
      <c r="B628" s="68">
        <v>13022001</v>
      </c>
      <c r="C628" s="69" t="s">
        <v>1642</v>
      </c>
      <c r="E628" s="137">
        <f>116+186839+486172</f>
        <v>673127</v>
      </c>
      <c r="G628" s="145">
        <f>255049</f>
        <v>255049</v>
      </c>
    </row>
    <row r="629" spans="5:7" ht="16.5" thickTop="1">
      <c r="E629" s="120"/>
      <c r="G629" s="118"/>
    </row>
    <row r="630" spans="2:7" ht="15.75">
      <c r="B630" s="138" t="s">
        <v>1643</v>
      </c>
      <c r="C630" s="492" t="s">
        <v>1625</v>
      </c>
      <c r="D630" s="492"/>
      <c r="E630" s="120"/>
      <c r="G630" s="118"/>
    </row>
    <row r="631" spans="2:7" ht="16.5" thickBot="1">
      <c r="B631" s="68">
        <v>3016002</v>
      </c>
      <c r="C631" s="487" t="s">
        <v>1625</v>
      </c>
      <c r="D631" s="487"/>
      <c r="E631" s="137">
        <f>440069</f>
        <v>440069</v>
      </c>
      <c r="G631" s="145">
        <f>1106611</f>
        <v>1106611</v>
      </c>
    </row>
    <row r="632" spans="5:7" ht="16.5" thickTop="1">
      <c r="E632" s="120"/>
      <c r="G632" s="118"/>
    </row>
    <row r="633" spans="2:3" ht="15.75">
      <c r="B633" s="138" t="s">
        <v>1626</v>
      </c>
      <c r="C633" s="125" t="s">
        <v>1627</v>
      </c>
    </row>
    <row r="634" spans="2:7" ht="15.75">
      <c r="B634" s="68">
        <v>14006001</v>
      </c>
      <c r="C634" s="69" t="s">
        <v>1628</v>
      </c>
      <c r="E634" s="121">
        <v>5458844.27</v>
      </c>
      <c r="G634" s="69">
        <v>4759615</v>
      </c>
    </row>
    <row r="635" spans="2:7" ht="15.75">
      <c r="B635" s="68">
        <v>14011001</v>
      </c>
      <c r="C635" s="69" t="s">
        <v>1629</v>
      </c>
      <c r="E635" s="121">
        <v>-10388580</v>
      </c>
      <c r="G635" s="69">
        <v>7121362</v>
      </c>
    </row>
    <row r="636" spans="5:9" ht="16.5" thickBot="1">
      <c r="E636" s="136">
        <f>SUM(E634:E635)</f>
        <v>-4929735.73</v>
      </c>
      <c r="G636" s="131">
        <f>SUM(G634:G635)</f>
        <v>11880977</v>
      </c>
      <c r="H636" s="69" t="s">
        <v>1630</v>
      </c>
      <c r="I636" s="69">
        <f>G636-I637</f>
        <v>14643145</v>
      </c>
    </row>
    <row r="637" spans="8:9" ht="16.5" thickTop="1">
      <c r="H637" s="69" t="s">
        <v>728</v>
      </c>
      <c r="I637" s="69">
        <v>-2762168</v>
      </c>
    </row>
    <row r="638" ht="16.5" thickBot="1">
      <c r="I638" s="131">
        <f>SUM(I636:I637)</f>
        <v>11880977</v>
      </c>
    </row>
    <row r="639" spans="2:3" ht="16.5" thickTop="1">
      <c r="B639" s="138" t="s">
        <v>1631</v>
      </c>
      <c r="C639" s="125" t="s">
        <v>1632</v>
      </c>
    </row>
    <row r="640" spans="2:9" ht="16.5" thickBot="1">
      <c r="B640" s="68">
        <v>14016001</v>
      </c>
      <c r="C640" s="69" t="s">
        <v>1633</v>
      </c>
      <c r="E640" s="137">
        <v>-531248</v>
      </c>
      <c r="G640" s="131">
        <v>-888721</v>
      </c>
      <c r="H640" s="69" t="s">
        <v>728</v>
      </c>
      <c r="I640" s="131">
        <f>G640</f>
        <v>-888721</v>
      </c>
    </row>
    <row r="641" ht="16.5" thickTop="1"/>
  </sheetData>
  <sheetProtection/>
  <mergeCells count="7">
    <mergeCell ref="C631:D631"/>
    <mergeCell ref="B2:I2"/>
    <mergeCell ref="B4:I4"/>
    <mergeCell ref="C6:D6"/>
    <mergeCell ref="G6:I6"/>
    <mergeCell ref="H64:H65"/>
    <mergeCell ref="C630:D630"/>
  </mergeCells>
  <printOptions/>
  <pageMargins left="0.3" right="0.16" top="0.35" bottom="0.36" header="0.31496062992126" footer="0.31496062992126"/>
  <pageSetup horizontalDpi="300" verticalDpi="300" orientation="portrait" paperSize="9" scale="54" r:id="rId1"/>
  <rowBreaks count="8" manualBreakCount="8">
    <brk id="76" min="1" max="8" man="1"/>
    <brk id="88" min="1" max="8" man="1"/>
    <brk id="96" min="1" max="8" man="1"/>
    <brk id="120" min="1" max="8" man="1"/>
    <brk id="355" min="1" max="8" man="1"/>
    <brk id="409" min="1" max="8" man="1"/>
    <brk id="449" min="1" max="8" man="1"/>
    <brk id="565" min="1" max="8" man="1"/>
  </rowBreaks>
  <ignoredErrors>
    <ignoredError sqref="G76" formulaRange="1"/>
  </ignoredErrors>
</worksheet>
</file>

<file path=xl/worksheets/sheet7.xml><?xml version="1.0" encoding="utf-8"?>
<worksheet xmlns="http://schemas.openxmlformats.org/spreadsheetml/2006/main" xmlns:r="http://schemas.openxmlformats.org/officeDocument/2006/relationships">
  <dimension ref="A2:G53"/>
  <sheetViews>
    <sheetView showGridLines="0" tabSelected="1" defaultGridColor="0" zoomScale="90" zoomScaleNormal="90" zoomScalePageLayoutView="0" colorId="22" workbookViewId="0" topLeftCell="A1">
      <selection activeCell="B2" sqref="B2:D46"/>
    </sheetView>
  </sheetViews>
  <sheetFormatPr defaultColWidth="9.421875" defaultRowHeight="15" customHeight="1"/>
  <cols>
    <col min="1" max="1" width="2.57421875" style="24" customWidth="1"/>
    <col min="2" max="2" width="45.8515625" style="24" customWidth="1"/>
    <col min="3" max="3" width="16.7109375" style="287" customWidth="1"/>
    <col min="4" max="4" width="16.7109375" style="205" customWidth="1"/>
    <col min="5" max="16384" width="9.421875" style="24" customWidth="1"/>
  </cols>
  <sheetData>
    <row r="2" spans="1:6" ht="16.5" customHeight="1">
      <c r="A2" s="30"/>
      <c r="B2" s="419" t="s">
        <v>73</v>
      </c>
      <c r="C2" s="419"/>
      <c r="D2" s="419"/>
      <c r="E2" s="254"/>
      <c r="F2" s="254"/>
    </row>
    <row r="3" spans="2:4" ht="18.75" customHeight="1">
      <c r="B3" s="440" t="s">
        <v>1672</v>
      </c>
      <c r="C3" s="440"/>
      <c r="D3" s="440"/>
    </row>
    <row r="4" spans="2:4" ht="9" customHeight="1">
      <c r="B4" s="237"/>
      <c r="C4" s="237"/>
      <c r="D4" s="237"/>
    </row>
    <row r="5" spans="2:4" ht="16.5" customHeight="1">
      <c r="B5" s="430" t="s">
        <v>53</v>
      </c>
      <c r="C5" s="493" t="s">
        <v>1681</v>
      </c>
      <c r="D5" s="494"/>
    </row>
    <row r="6" spans="2:4" ht="15">
      <c r="B6" s="430"/>
      <c r="C6" s="389" t="s">
        <v>820</v>
      </c>
      <c r="D6" s="390" t="s">
        <v>821</v>
      </c>
    </row>
    <row r="7" spans="1:4" ht="15" customHeight="1">
      <c r="A7" s="39"/>
      <c r="B7" s="356" t="s">
        <v>1686</v>
      </c>
      <c r="C7" s="281"/>
      <c r="D7" s="294"/>
    </row>
    <row r="8" spans="1:4" ht="12.75" customHeight="1" hidden="1">
      <c r="A8" s="39"/>
      <c r="B8" s="258"/>
      <c r="C8" s="282"/>
      <c r="D8" s="200"/>
    </row>
    <row r="9" spans="1:7" ht="24" customHeight="1">
      <c r="A9" s="39"/>
      <c r="B9" s="189" t="s">
        <v>63</v>
      </c>
      <c r="C9" s="228">
        <v>36987904</v>
      </c>
      <c r="D9" s="282">
        <v>33441488</v>
      </c>
      <c r="G9" s="24">
        <f>27.76+10.83</f>
        <v>38.59</v>
      </c>
    </row>
    <row r="10" spans="1:6" ht="15.75" customHeight="1">
      <c r="A10" s="39"/>
      <c r="B10" s="369" t="s">
        <v>64</v>
      </c>
      <c r="C10" s="228">
        <v>7597803</v>
      </c>
      <c r="D10" s="282">
        <v>2357015</v>
      </c>
      <c r="F10" s="24" t="s">
        <v>263</v>
      </c>
    </row>
    <row r="11" spans="1:7" ht="15.75" customHeight="1">
      <c r="A11" s="39"/>
      <c r="B11" s="259" t="s">
        <v>146</v>
      </c>
      <c r="C11" s="228">
        <v>2527542</v>
      </c>
      <c r="D11" s="282">
        <v>2501351.94</v>
      </c>
      <c r="F11" s="24" t="s">
        <v>67</v>
      </c>
      <c r="G11" s="25" t="s">
        <v>67</v>
      </c>
    </row>
    <row r="12" spans="1:7" ht="15.75" customHeight="1">
      <c r="A12" s="39"/>
      <c r="B12" s="259" t="s">
        <v>1706</v>
      </c>
      <c r="C12" s="228">
        <v>3016500</v>
      </c>
      <c r="D12" s="282">
        <v>3009360</v>
      </c>
      <c r="G12" s="25"/>
    </row>
    <row r="13" spans="1:4" ht="15" customHeight="1">
      <c r="A13" s="39"/>
      <c r="B13" s="259" t="s">
        <v>1707</v>
      </c>
      <c r="C13" s="228">
        <v>2127979</v>
      </c>
      <c r="D13" s="282" t="s">
        <v>258</v>
      </c>
    </row>
    <row r="14" spans="1:4" ht="27" customHeight="1" thickBot="1">
      <c r="A14" s="39"/>
      <c r="B14" s="344"/>
      <c r="C14" s="283">
        <f>SUM(C9:C13)</f>
        <v>52257728</v>
      </c>
      <c r="D14" s="284">
        <f>SUM(D9:D13)+1</f>
        <v>41309215.94</v>
      </c>
    </row>
    <row r="15" spans="1:4" ht="15" customHeight="1" thickTop="1">
      <c r="A15" s="39"/>
      <c r="B15" s="357" t="s">
        <v>1687</v>
      </c>
      <c r="C15" s="228"/>
      <c r="D15" s="200"/>
    </row>
    <row r="16" spans="1:4" ht="22.5" customHeight="1">
      <c r="A16" s="39"/>
      <c r="B16" s="189" t="s">
        <v>65</v>
      </c>
      <c r="C16" s="228"/>
      <c r="D16" s="200"/>
    </row>
    <row r="17" spans="1:4" ht="15" customHeight="1">
      <c r="A17" s="39"/>
      <c r="B17" s="189" t="s">
        <v>102</v>
      </c>
      <c r="C17" s="228">
        <f>38993831.21+186839+486172</f>
        <v>39666842.21</v>
      </c>
      <c r="D17" s="282">
        <v>29849962.98</v>
      </c>
    </row>
    <row r="18" spans="1:4" ht="15" customHeight="1">
      <c r="A18" s="39"/>
      <c r="B18" s="189" t="s">
        <v>66</v>
      </c>
      <c r="C18" s="228">
        <v>0</v>
      </c>
      <c r="D18" s="282">
        <v>0</v>
      </c>
    </row>
    <row r="19" spans="1:4" ht="15" customHeight="1">
      <c r="A19" s="39"/>
      <c r="B19" s="189" t="s">
        <v>1688</v>
      </c>
      <c r="C19" s="228">
        <f>3003062.12+2230663.36+4196-84</f>
        <v>5237837.48</v>
      </c>
      <c r="D19" s="282">
        <f>2493689.21-12060</f>
        <v>2481629.21</v>
      </c>
    </row>
    <row r="20" spans="1:4" ht="15" customHeight="1" thickBot="1">
      <c r="A20" s="39"/>
      <c r="B20" s="344"/>
      <c r="C20" s="283">
        <f>SUM(C17:C19)</f>
        <v>44904679.69</v>
      </c>
      <c r="D20" s="284">
        <f>SUM(D17:D19)</f>
        <v>32331592.19</v>
      </c>
    </row>
    <row r="21" spans="1:4" ht="15" customHeight="1" thickTop="1">
      <c r="A21" s="39"/>
      <c r="B21" s="189"/>
      <c r="C21" s="228"/>
      <c r="D21" s="282"/>
    </row>
    <row r="22" spans="1:7" ht="15" customHeight="1">
      <c r="A22" s="39"/>
      <c r="B22" s="317" t="s">
        <v>291</v>
      </c>
      <c r="C22" s="228"/>
      <c r="D22" s="282"/>
      <c r="G22" s="24" t="s">
        <v>67</v>
      </c>
    </row>
    <row r="23" spans="1:4" ht="12.75" customHeight="1" hidden="1">
      <c r="A23" s="39"/>
      <c r="B23" s="257"/>
      <c r="C23" s="228"/>
      <c r="D23" s="282"/>
    </row>
    <row r="24" spans="1:7" ht="25.5" customHeight="1">
      <c r="A24" s="39"/>
      <c r="B24" s="219" t="s">
        <v>37</v>
      </c>
      <c r="C24" s="228">
        <f>3757078.87-C25+584199.38</f>
        <v>2063059.25</v>
      </c>
      <c r="D24" s="282">
        <f>3673360.03-1916788.1</f>
        <v>1756571.9299999997</v>
      </c>
      <c r="G24" s="24" t="s">
        <v>67</v>
      </c>
    </row>
    <row r="25" spans="1:4" ht="14.25" customHeight="1">
      <c r="A25" s="39"/>
      <c r="B25" s="219" t="s">
        <v>190</v>
      </c>
      <c r="C25" s="228">
        <v>2278219</v>
      </c>
      <c r="D25" s="282">
        <f>1916788.1</f>
        <v>1916788.1</v>
      </c>
    </row>
    <row r="26" spans="1:4" ht="14.25" customHeight="1">
      <c r="A26" s="39"/>
      <c r="B26" s="219" t="s">
        <v>191</v>
      </c>
      <c r="C26" s="228">
        <v>5433593</v>
      </c>
      <c r="D26" s="282">
        <v>1836285</v>
      </c>
    </row>
    <row r="27" spans="1:4" ht="25.5" customHeight="1">
      <c r="A27" s="39"/>
      <c r="B27" s="219" t="s">
        <v>147</v>
      </c>
      <c r="C27" s="228"/>
      <c r="D27" s="282"/>
    </row>
    <row r="28" spans="1:7" ht="15" customHeight="1">
      <c r="A28" s="39"/>
      <c r="B28" s="219" t="s">
        <v>148</v>
      </c>
      <c r="C28" s="228">
        <f>444156.49+393.98</f>
        <v>444550.47</v>
      </c>
      <c r="D28" s="282">
        <v>347651.34</v>
      </c>
      <c r="G28" s="24" t="s">
        <v>67</v>
      </c>
    </row>
    <row r="29" spans="1:7" ht="15" customHeight="1">
      <c r="A29" s="39"/>
      <c r="B29" s="219" t="s">
        <v>150</v>
      </c>
      <c r="C29" s="228">
        <f>840703.3+112589.59</f>
        <v>953292.89</v>
      </c>
      <c r="D29" s="282">
        <f>1407717.05+21000</f>
        <v>1428717.05</v>
      </c>
      <c r="G29" s="24" t="s">
        <v>67</v>
      </c>
    </row>
    <row r="30" spans="1:7" ht="15" customHeight="1">
      <c r="A30" s="39"/>
      <c r="B30" s="219" t="s">
        <v>149</v>
      </c>
      <c r="C30" s="228">
        <f>1549517.43+17496.97</f>
        <v>1567014.4</v>
      </c>
      <c r="D30" s="282">
        <v>1123215.77</v>
      </c>
      <c r="G30" s="24" t="s">
        <v>67</v>
      </c>
    </row>
    <row r="31" spans="1:4" ht="15" customHeight="1">
      <c r="A31" s="39"/>
      <c r="B31" s="219" t="s">
        <v>151</v>
      </c>
      <c r="C31" s="228">
        <f>188962.49+1021.29</f>
        <v>189983.78</v>
      </c>
      <c r="D31" s="282">
        <v>147578.3</v>
      </c>
    </row>
    <row r="32" spans="1:4" ht="15" customHeight="1">
      <c r="A32" s="39"/>
      <c r="B32" s="219" t="s">
        <v>152</v>
      </c>
      <c r="C32" s="228">
        <f>470467.98-23663</f>
        <v>446804.98</v>
      </c>
      <c r="D32" s="282">
        <v>474569.1</v>
      </c>
    </row>
    <row r="33" spans="1:4" ht="15" customHeight="1">
      <c r="A33" s="39"/>
      <c r="B33" s="219" t="s">
        <v>154</v>
      </c>
      <c r="C33" s="228">
        <f>2959553.26+52779</f>
        <v>3012332.26</v>
      </c>
      <c r="D33" s="282">
        <v>2691191.44</v>
      </c>
    </row>
    <row r="34" spans="1:4" ht="15" customHeight="1">
      <c r="A34" s="39"/>
      <c r="B34" s="189" t="s">
        <v>103</v>
      </c>
      <c r="C34" s="228">
        <f>93688.56+99467</f>
        <v>193155.56</v>
      </c>
      <c r="D34" s="282">
        <v>347865.47</v>
      </c>
    </row>
    <row r="35" spans="1:4" ht="15" customHeight="1">
      <c r="A35" s="39"/>
      <c r="B35" s="219" t="s">
        <v>153</v>
      </c>
      <c r="C35" s="228">
        <f>545226+16821</f>
        <v>562047</v>
      </c>
      <c r="D35" s="282">
        <v>422714</v>
      </c>
    </row>
    <row r="36" spans="1:4" ht="15" customHeight="1">
      <c r="A36" s="39"/>
      <c r="B36" s="219" t="s">
        <v>30</v>
      </c>
      <c r="C36" s="228">
        <f>1550256.24+41670</f>
        <v>1591926.24</v>
      </c>
      <c r="D36" s="282">
        <v>1978411.52</v>
      </c>
    </row>
    <row r="37" spans="1:4" ht="15" customHeight="1">
      <c r="A37" s="39"/>
      <c r="B37" s="219" t="s">
        <v>156</v>
      </c>
      <c r="C37" s="228">
        <v>104294</v>
      </c>
      <c r="D37" s="282">
        <v>402866.5</v>
      </c>
    </row>
    <row r="38" spans="1:4" ht="15" customHeight="1">
      <c r="A38" s="39"/>
      <c r="B38" s="219" t="s">
        <v>39</v>
      </c>
      <c r="C38" s="228">
        <v>45954.5</v>
      </c>
      <c r="D38" s="282">
        <v>12060</v>
      </c>
    </row>
    <row r="39" spans="1:4" ht="15" customHeight="1">
      <c r="A39" s="39"/>
      <c r="B39" s="219" t="s">
        <v>251</v>
      </c>
      <c r="C39" s="228">
        <v>68000</v>
      </c>
      <c r="D39" s="282">
        <v>72200</v>
      </c>
    </row>
    <row r="40" spans="1:4" ht="15" customHeight="1">
      <c r="A40" s="39"/>
      <c r="B40" s="219" t="s">
        <v>252</v>
      </c>
      <c r="C40" s="405">
        <f>236469-34200</f>
        <v>202269</v>
      </c>
      <c r="D40" s="404">
        <v>186585</v>
      </c>
    </row>
    <row r="41" spans="1:4" ht="15" customHeight="1">
      <c r="A41" s="39"/>
      <c r="B41" s="219" t="s">
        <v>157</v>
      </c>
      <c r="C41" s="228">
        <v>86817.5</v>
      </c>
      <c r="D41" s="282">
        <f>239539+3656</f>
        <v>243195</v>
      </c>
    </row>
    <row r="42" spans="1:4" ht="15" customHeight="1">
      <c r="A42" s="39"/>
      <c r="B42" s="219" t="s">
        <v>38</v>
      </c>
      <c r="C42" s="228">
        <f>254307+34200</f>
        <v>288507</v>
      </c>
      <c r="D42" s="282">
        <v>232828</v>
      </c>
    </row>
    <row r="43" spans="1:4" ht="15" customHeight="1">
      <c r="A43" s="39"/>
      <c r="B43" s="219" t="s">
        <v>155</v>
      </c>
      <c r="C43" s="228">
        <v>0</v>
      </c>
      <c r="D43" s="282">
        <v>1205</v>
      </c>
    </row>
    <row r="44" spans="1:4" ht="15" customHeight="1">
      <c r="A44" s="39"/>
      <c r="B44" s="219" t="s">
        <v>104</v>
      </c>
      <c r="C44" s="228">
        <v>161332</v>
      </c>
      <c r="D44" s="282">
        <v>22600</v>
      </c>
    </row>
    <row r="45" spans="1:4" ht="15" customHeight="1">
      <c r="A45" s="39"/>
      <c r="B45" s="219" t="s">
        <v>31</v>
      </c>
      <c r="C45" s="228">
        <v>610632</v>
      </c>
      <c r="D45" s="282">
        <f>202068.56</f>
        <v>202068.56</v>
      </c>
    </row>
    <row r="46" spans="1:4" ht="26.25" customHeight="1" thickBot="1">
      <c r="A46" s="39"/>
      <c r="B46" s="338"/>
      <c r="C46" s="283">
        <f>SUM(C24:C45)</f>
        <v>20303784.830000002</v>
      </c>
      <c r="D46" s="284">
        <f>SUM(D24:D45)</f>
        <v>15847167.08</v>
      </c>
    </row>
    <row r="47" spans="1:3" ht="15" customHeight="1" thickTop="1">
      <c r="A47" s="39"/>
      <c r="C47" s="193"/>
    </row>
    <row r="48" spans="1:3" ht="15" customHeight="1">
      <c r="A48" s="39"/>
      <c r="C48" s="193"/>
    </row>
    <row r="49" ht="15" customHeight="1">
      <c r="C49" s="193"/>
    </row>
    <row r="50" ht="15" customHeight="1">
      <c r="C50" s="193"/>
    </row>
    <row r="51" spans="2:3" ht="15" customHeight="1">
      <c r="B51" s="24" t="s">
        <v>67</v>
      </c>
      <c r="C51" s="193"/>
    </row>
    <row r="52" ht="15" customHeight="1">
      <c r="C52" s="193"/>
    </row>
    <row r="53" ht="15" customHeight="1">
      <c r="C53" s="193"/>
    </row>
  </sheetData>
  <sheetProtection/>
  <mergeCells count="4">
    <mergeCell ref="C5:D5"/>
    <mergeCell ref="B2:D2"/>
    <mergeCell ref="B3:D3"/>
    <mergeCell ref="B5:B6"/>
  </mergeCells>
  <printOptions/>
  <pageMargins left="1.247916667" right="0.25" top="0.5" bottom="0.5" header="0.511805555555556" footer="0.25"/>
  <pageSetup firstPageNumber="17" useFirstPageNumber="1" horizontalDpi="300" verticalDpi="300" orientation="portrait" scale="9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F39"/>
  <sheetViews>
    <sheetView zoomScalePageLayoutView="0" workbookViewId="0" topLeftCell="A1">
      <selection activeCell="F13" sqref="F13"/>
    </sheetView>
  </sheetViews>
  <sheetFormatPr defaultColWidth="9.140625" defaultRowHeight="12.75"/>
  <cols>
    <col min="1" max="1" width="32.00390625" style="45" bestFit="1" customWidth="1"/>
    <col min="2" max="2" width="10.140625" style="45" bestFit="1" customWidth="1"/>
    <col min="3" max="3" width="16.28125" style="45" customWidth="1"/>
    <col min="4" max="4" width="14.140625" style="45" bestFit="1" customWidth="1"/>
    <col min="5" max="5" width="11.140625" style="45" bestFit="1" customWidth="1"/>
    <col min="6" max="16384" width="9.140625" style="45" customWidth="1"/>
  </cols>
  <sheetData>
    <row r="1" spans="1:4" ht="15.75">
      <c r="A1" s="495" t="s">
        <v>73</v>
      </c>
      <c r="B1" s="496"/>
      <c r="C1" s="496"/>
      <c r="D1" s="497"/>
    </row>
    <row r="2" spans="1:4" ht="18.75">
      <c r="A2" s="498" t="s">
        <v>261</v>
      </c>
      <c r="B2" s="499"/>
      <c r="C2" s="499"/>
      <c r="D2" s="500"/>
    </row>
    <row r="3" spans="1:4" ht="15">
      <c r="A3" s="501"/>
      <c r="B3" s="502"/>
      <c r="C3" s="503" t="s">
        <v>69</v>
      </c>
      <c r="D3" s="503"/>
    </row>
    <row r="4" spans="1:4" ht="31.5">
      <c r="A4" s="46" t="s">
        <v>0</v>
      </c>
      <c r="B4" s="46" t="s">
        <v>1</v>
      </c>
      <c r="C4" s="47" t="s">
        <v>262</v>
      </c>
      <c r="D4" s="47" t="s">
        <v>253</v>
      </c>
    </row>
    <row r="5" spans="1:4" ht="15">
      <c r="A5" s="48"/>
      <c r="B5" s="48"/>
      <c r="C5" s="49"/>
      <c r="D5" s="50"/>
    </row>
    <row r="6" spans="1:4" ht="15.75">
      <c r="A6" s="51" t="s">
        <v>117</v>
      </c>
      <c r="B6" s="52"/>
      <c r="C6" s="53"/>
      <c r="D6" s="54"/>
    </row>
    <row r="7" spans="1:4" ht="15.75">
      <c r="A7" s="55" t="s">
        <v>118</v>
      </c>
      <c r="B7" s="48"/>
      <c r="C7" s="53"/>
      <c r="D7" s="56"/>
    </row>
    <row r="8" spans="1:4" ht="15">
      <c r="A8" s="57" t="s">
        <v>2</v>
      </c>
      <c r="B8" s="48">
        <v>2</v>
      </c>
      <c r="C8" s="4">
        <v>71183300</v>
      </c>
      <c r="D8" s="58">
        <f>SUM('LIA NOTES_2'!D16)</f>
        <v>7118330</v>
      </c>
    </row>
    <row r="9" spans="1:6" ht="15">
      <c r="A9" s="57" t="s">
        <v>3</v>
      </c>
      <c r="B9" s="48">
        <v>3</v>
      </c>
      <c r="C9" s="4">
        <f>9645052+108107045+30866293+38708994-97529199</f>
        <v>89798185</v>
      </c>
      <c r="D9" s="58">
        <f>SUM('LIA NOTES_2'!D69)</f>
        <v>49067727.82999998</v>
      </c>
      <c r="F9" s="45">
        <v>89798185</v>
      </c>
    </row>
    <row r="10" spans="1:5" ht="15">
      <c r="A10" s="52"/>
      <c r="B10" s="48"/>
      <c r="C10" s="4"/>
      <c r="D10" s="58"/>
      <c r="E10" s="59">
        <f>+C9-F9</f>
        <v>0</v>
      </c>
    </row>
    <row r="11" spans="1:4" ht="15.75">
      <c r="A11" s="55" t="s">
        <v>119</v>
      </c>
      <c r="B11" s="48"/>
      <c r="C11" s="4"/>
      <c r="D11" s="58"/>
    </row>
    <row r="12" spans="1:4" ht="15">
      <c r="A12" s="57" t="s">
        <v>4</v>
      </c>
      <c r="B12" s="48">
        <v>4</v>
      </c>
      <c r="C12" s="4">
        <f>16334655.12+255049+19666000+16527928+128588023</f>
        <v>181371655.12</v>
      </c>
      <c r="D12" s="58">
        <f>SUM('LIA NOTES_2'!D87)</f>
        <v>213712432</v>
      </c>
    </row>
    <row r="13" spans="1:4" ht="15">
      <c r="A13" s="57" t="s">
        <v>208</v>
      </c>
      <c r="B13" s="48">
        <v>5</v>
      </c>
      <c r="C13" s="4" t="e">
        <f>'LIA NOTES_2'!#REF!</f>
        <v>#REF!</v>
      </c>
      <c r="D13" s="58">
        <f>'LIA NOTES_2'!D126</f>
        <v>16351259.27</v>
      </c>
    </row>
    <row r="14" spans="1:4" ht="15">
      <c r="A14" s="57"/>
      <c r="B14" s="48"/>
      <c r="C14" s="60"/>
      <c r="D14" s="58"/>
    </row>
    <row r="15" spans="1:4" ht="15.75">
      <c r="A15" s="55" t="s">
        <v>120</v>
      </c>
      <c r="B15" s="48"/>
      <c r="C15" s="60"/>
      <c r="D15" s="58"/>
    </row>
    <row r="16" spans="1:4" ht="15">
      <c r="A16" s="57" t="s">
        <v>5</v>
      </c>
      <c r="B16" s="48">
        <v>6</v>
      </c>
      <c r="C16" s="4" t="e">
        <f>SUM('LIA NOTES_2'!#REF!)</f>
        <v>#REF!</v>
      </c>
      <c r="D16" s="58">
        <f>SUM('LIA NOTES_2'!D134)</f>
        <v>97487366.6</v>
      </c>
    </row>
    <row r="17" spans="1:4" ht="15">
      <c r="A17" s="57" t="s">
        <v>6</v>
      </c>
      <c r="B17" s="48">
        <v>7</v>
      </c>
      <c r="C17" s="4">
        <f>59726468.58</f>
        <v>59726468.58</v>
      </c>
      <c r="D17" s="58">
        <f>+'LIA NOTES_2'!D141</f>
        <v>39503837.18000001</v>
      </c>
    </row>
    <row r="18" spans="1:4" ht="15">
      <c r="A18" s="57" t="s">
        <v>7</v>
      </c>
      <c r="B18" s="48">
        <v>8</v>
      </c>
      <c r="C18" s="4">
        <f>16594749.44+1228011092.83</f>
        <v>1244605842.27</v>
      </c>
      <c r="D18" s="58">
        <f>+'LIA NOTES_2'!D152</f>
        <v>109527866.12</v>
      </c>
    </row>
    <row r="19" spans="1:4" ht="15">
      <c r="A19" s="57" t="s">
        <v>8</v>
      </c>
      <c r="B19" s="48">
        <v>9</v>
      </c>
      <c r="C19" s="4">
        <f>851562+16531200+5458844.27+9184301+888721</f>
        <v>32914628.27</v>
      </c>
      <c r="D19" s="58">
        <f>+'LIA NOTES_2'!D157</f>
        <v>2219122</v>
      </c>
    </row>
    <row r="20" spans="1:4" ht="15.75">
      <c r="A20" s="46" t="s">
        <v>26</v>
      </c>
      <c r="B20" s="46"/>
      <c r="C20" s="61" t="e">
        <f>SUM(C8:C19)</f>
        <v>#REF!</v>
      </c>
      <c r="D20" s="62">
        <f>SUM(D8:D19)</f>
        <v>534987940.99999994</v>
      </c>
    </row>
    <row r="21" spans="1:4" ht="15.75">
      <c r="A21" s="63" t="s">
        <v>9</v>
      </c>
      <c r="B21" s="48"/>
      <c r="C21" s="64"/>
      <c r="D21" s="65"/>
    </row>
    <row r="22" spans="1:4" ht="15.75">
      <c r="A22" s="55" t="s">
        <v>121</v>
      </c>
      <c r="B22" s="48"/>
      <c r="C22" s="64"/>
      <c r="D22" s="65"/>
    </row>
    <row r="23" spans="1:4" ht="15">
      <c r="A23" s="57" t="s">
        <v>10</v>
      </c>
      <c r="B23" s="48"/>
      <c r="C23" s="64"/>
      <c r="D23" s="65"/>
    </row>
    <row r="24" spans="1:4" ht="15">
      <c r="A24" s="57" t="s">
        <v>209</v>
      </c>
      <c r="B24" s="48">
        <v>10</v>
      </c>
      <c r="C24" s="4">
        <f>31364848.87+34636907.04+69581889.19+380024.22+7350696.96+8</f>
        <v>143314374.28</v>
      </c>
      <c r="D24" s="4" t="e">
        <f>+'F ASSETS'!#REF!</f>
        <v>#REF!</v>
      </c>
    </row>
    <row r="25" spans="1:4" ht="15">
      <c r="A25" s="57" t="s">
        <v>254</v>
      </c>
      <c r="B25" s="48"/>
      <c r="C25" s="4">
        <v>0</v>
      </c>
      <c r="D25" s="4">
        <v>1145524</v>
      </c>
    </row>
    <row r="26" spans="1:4" ht="15">
      <c r="A26" s="57" t="s">
        <v>115</v>
      </c>
      <c r="B26" s="48">
        <v>11</v>
      </c>
      <c r="C26" s="4">
        <v>99100</v>
      </c>
      <c r="D26" s="4">
        <v>99100</v>
      </c>
    </row>
    <row r="27" spans="1:4" ht="15">
      <c r="A27" s="57" t="s">
        <v>116</v>
      </c>
      <c r="B27" s="48"/>
      <c r="C27" s="4">
        <v>109447410</v>
      </c>
      <c r="D27" s="58">
        <v>109447410</v>
      </c>
    </row>
    <row r="28" spans="1:4" ht="15">
      <c r="A28" s="66" t="s">
        <v>42</v>
      </c>
      <c r="B28" s="48">
        <v>12</v>
      </c>
      <c r="C28" s="4">
        <f>'ASSETS NOTES_2'!C38</f>
        <v>0</v>
      </c>
      <c r="D28" s="58">
        <f>SUM('ASSETS NOTES_2'!D38)</f>
        <v>130088286.96</v>
      </c>
    </row>
    <row r="29" spans="1:4" ht="15">
      <c r="A29" s="57" t="s">
        <v>238</v>
      </c>
      <c r="B29" s="48">
        <v>13</v>
      </c>
      <c r="C29" s="4">
        <f>1822457+29435.22+27549.35+100000</f>
        <v>1979441.57</v>
      </c>
      <c r="D29" s="58">
        <f>'ASSETS NOTES_2'!D44</f>
        <v>0</v>
      </c>
    </row>
    <row r="30" spans="1:4" ht="15">
      <c r="A30" s="11"/>
      <c r="B30" s="11"/>
      <c r="C30" s="11"/>
      <c r="D30" s="11"/>
    </row>
    <row r="31" spans="1:4" ht="15">
      <c r="A31" s="57"/>
      <c r="B31" s="48"/>
      <c r="C31" s="4"/>
      <c r="D31" s="58"/>
    </row>
    <row r="32" spans="1:4" ht="15">
      <c r="A32" s="57"/>
      <c r="B32" s="48"/>
      <c r="C32" s="60"/>
      <c r="D32" s="67"/>
    </row>
    <row r="33" spans="1:4" ht="15.75">
      <c r="A33" s="55" t="s">
        <v>122</v>
      </c>
      <c r="B33" s="48"/>
      <c r="C33" s="4"/>
      <c r="D33" s="58"/>
    </row>
    <row r="34" spans="1:6" ht="15">
      <c r="A34" s="57" t="s">
        <v>41</v>
      </c>
      <c r="B34" s="48">
        <v>14</v>
      </c>
      <c r="C34" s="4">
        <f>105335307.08+314530.48+3609070.69+475716+26628598.5</f>
        <v>136363222.75</v>
      </c>
      <c r="D34" s="58">
        <f>SUM('ASSETS NOTES_2'!D54)</f>
        <v>223105997.74</v>
      </c>
      <c r="F34" s="59">
        <f>+D34-C34</f>
        <v>86742774.99000001</v>
      </c>
    </row>
    <row r="35" spans="1:5" ht="15">
      <c r="A35" s="57" t="s">
        <v>11</v>
      </c>
      <c r="B35" s="48">
        <v>15</v>
      </c>
      <c r="C35" s="4">
        <f>275000+166442814.72</f>
        <v>166717814.72</v>
      </c>
      <c r="D35" s="58">
        <f>SUM('ASSETS NOTES_2'!D64)</f>
        <v>14406548.529999997</v>
      </c>
      <c r="E35" s="59">
        <f>+C35-D35</f>
        <v>152311266.19</v>
      </c>
    </row>
    <row r="36" spans="1:4" ht="15">
      <c r="A36" s="57" t="s">
        <v>12</v>
      </c>
      <c r="B36" s="48">
        <v>16</v>
      </c>
      <c r="C36" s="4">
        <f>180713.7+486+598011.87+57057</f>
        <v>836268.5700000001</v>
      </c>
      <c r="D36" s="58">
        <f>SUM('ASSETS NOTES_2'!D71)</f>
        <v>8063578.33</v>
      </c>
    </row>
    <row r="37" spans="1:4" ht="15">
      <c r="A37" s="57" t="s">
        <v>13</v>
      </c>
      <c r="B37" s="48">
        <v>17</v>
      </c>
      <c r="C37" s="4">
        <f>1495860+9776869+30421198.36</f>
        <v>41693927.36</v>
      </c>
      <c r="D37" s="58">
        <f>SUM('ASSETS NOTES_2'!D77)</f>
        <v>17256710.81</v>
      </c>
    </row>
    <row r="38" spans="1:4" ht="15">
      <c r="A38" s="57" t="s">
        <v>14</v>
      </c>
      <c r="B38" s="48">
        <v>18</v>
      </c>
      <c r="C38" s="4">
        <f>1016680.99+113590356.88+11519321.16+35808321+1441540.62+1172664627.18</f>
        <v>1336040847.83</v>
      </c>
      <c r="D38" s="58">
        <f>SUM('ASSETS NOTES_2'!D81)</f>
        <v>480437</v>
      </c>
    </row>
    <row r="39" spans="1:4" ht="15.75">
      <c r="A39" s="46" t="s">
        <v>26</v>
      </c>
      <c r="B39" s="55"/>
      <c r="C39" s="61">
        <f>SUM(C24:C38)</f>
        <v>1936492407.08</v>
      </c>
      <c r="D39" s="62" t="e">
        <f>SUM(D24:D38)</f>
        <v>#REF!</v>
      </c>
    </row>
  </sheetData>
  <sheetProtection/>
  <mergeCells count="4">
    <mergeCell ref="A1:D1"/>
    <mergeCell ref="A2:D2"/>
    <mergeCell ref="A3:B3"/>
    <mergeCell ref="C3:D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I383"/>
  <sheetViews>
    <sheetView view="pageBreakPreview" zoomScale="70" zoomScaleSheetLayoutView="70" zoomScalePageLayoutView="0" workbookViewId="0" topLeftCell="A35">
      <selection activeCell="E128" sqref="E128"/>
    </sheetView>
  </sheetViews>
  <sheetFormatPr defaultColWidth="9.140625" defaultRowHeight="12.75"/>
  <cols>
    <col min="1" max="1" width="1.57421875" style="71" customWidth="1"/>
    <col min="2" max="2" width="12.421875" style="89" customWidth="1"/>
    <col min="3" max="3" width="65.140625" style="71" customWidth="1"/>
    <col min="4" max="5" width="23.28125" style="81" customWidth="1"/>
    <col min="6" max="6" width="24.8515625" style="71" customWidth="1"/>
    <col min="7" max="7" width="16.7109375" style="71" customWidth="1"/>
    <col min="8" max="16384" width="9.140625" style="71" customWidth="1"/>
  </cols>
  <sheetData>
    <row r="1" spans="1:9" ht="15.75" customHeight="1">
      <c r="A1" s="149"/>
      <c r="B1" s="488" t="s">
        <v>785</v>
      </c>
      <c r="C1" s="488"/>
      <c r="D1" s="488"/>
      <c r="E1" s="488"/>
      <c r="F1" s="488"/>
      <c r="G1" s="488"/>
      <c r="H1" s="488"/>
      <c r="I1" s="150"/>
    </row>
    <row r="2" spans="2:6" ht="15.75">
      <c r="B2" s="72"/>
      <c r="C2" s="72"/>
      <c r="D2" s="73"/>
      <c r="E2" s="73"/>
      <c r="F2" s="72"/>
    </row>
    <row r="3" spans="2:6" ht="15.75">
      <c r="B3" s="74" t="s">
        <v>298</v>
      </c>
      <c r="C3" s="74" t="s">
        <v>0</v>
      </c>
      <c r="D3" s="75" t="s">
        <v>299</v>
      </c>
      <c r="E3" s="75" t="s">
        <v>300</v>
      </c>
      <c r="F3" s="72"/>
    </row>
    <row r="4" spans="2:5" ht="15.75">
      <c r="B4" s="76">
        <v>5</v>
      </c>
      <c r="C4" s="77" t="s">
        <v>301</v>
      </c>
      <c r="D4" s="504" t="s">
        <v>302</v>
      </c>
      <c r="E4" s="504"/>
    </row>
    <row r="5" spans="2:4" ht="15">
      <c r="B5" s="78" t="s">
        <v>303</v>
      </c>
      <c r="C5" s="79" t="s">
        <v>304</v>
      </c>
      <c r="D5" s="80"/>
    </row>
    <row r="6" spans="2:5" ht="15">
      <c r="B6" s="82">
        <v>5001001</v>
      </c>
      <c r="C6" s="83" t="s">
        <v>304</v>
      </c>
      <c r="D6" s="84">
        <v>498555.87</v>
      </c>
      <c r="E6" s="81">
        <v>498555.87</v>
      </c>
    </row>
    <row r="7" spans="2:5" ht="15">
      <c r="B7" s="82">
        <v>5001002</v>
      </c>
      <c r="C7" s="83" t="s">
        <v>305</v>
      </c>
      <c r="D7" s="84">
        <v>30866293</v>
      </c>
      <c r="E7" s="81">
        <v>30866293</v>
      </c>
    </row>
    <row r="8" spans="2:4" ht="15">
      <c r="B8" s="85" t="s">
        <v>306</v>
      </c>
      <c r="C8" s="86" t="s">
        <v>307</v>
      </c>
      <c r="D8" s="87"/>
    </row>
    <row r="9" spans="2:5" ht="15">
      <c r="B9" s="82">
        <v>5002001</v>
      </c>
      <c r="C9" s="83" t="s">
        <v>308</v>
      </c>
      <c r="D9" s="81">
        <v>-53266498.21</v>
      </c>
      <c r="E9" s="81">
        <v>-50618495.21</v>
      </c>
    </row>
    <row r="10" spans="2:5" ht="15">
      <c r="B10" s="82">
        <v>5002002</v>
      </c>
      <c r="C10" s="83" t="s">
        <v>309</v>
      </c>
      <c r="D10" s="81">
        <v>-47241355</v>
      </c>
      <c r="E10" s="81">
        <v>-46158334</v>
      </c>
    </row>
    <row r="11" spans="2:5" ht="15">
      <c r="B11" s="82">
        <v>5002003</v>
      </c>
      <c r="C11" s="83" t="s">
        <v>307</v>
      </c>
      <c r="D11" s="88">
        <v>60584231.81</v>
      </c>
      <c r="E11" s="81">
        <v>60149263.81</v>
      </c>
    </row>
    <row r="12" spans="2:5" ht="15">
      <c r="B12" s="82">
        <v>5002004</v>
      </c>
      <c r="C12" s="83" t="s">
        <v>310</v>
      </c>
      <c r="D12" s="81">
        <v>66898442</v>
      </c>
      <c r="E12" s="81">
        <v>66898442</v>
      </c>
    </row>
    <row r="13" spans="2:5" ht="15">
      <c r="B13" s="82">
        <v>5002005</v>
      </c>
      <c r="C13" s="83" t="s">
        <v>311</v>
      </c>
      <c r="D13" s="81">
        <v>3423218.44</v>
      </c>
      <c r="E13" s="81">
        <v>3423218.44</v>
      </c>
    </row>
    <row r="14" spans="2:4" ht="15">
      <c r="B14" s="85" t="s">
        <v>312</v>
      </c>
      <c r="C14" s="86" t="s">
        <v>313</v>
      </c>
      <c r="D14" s="87"/>
    </row>
    <row r="15" spans="2:5" ht="15">
      <c r="B15" s="82">
        <v>5003001</v>
      </c>
      <c r="C15" s="83" t="s">
        <v>314</v>
      </c>
      <c r="D15" s="81">
        <v>-188050579.58</v>
      </c>
      <c r="E15" s="81">
        <v>-219681576.09</v>
      </c>
    </row>
    <row r="16" spans="2:5" ht="15">
      <c r="B16" s="82">
        <v>5003002</v>
      </c>
      <c r="C16" s="83" t="s">
        <v>315</v>
      </c>
      <c r="D16" s="81">
        <v>-29885018</v>
      </c>
      <c r="E16" s="81">
        <v>-27108552</v>
      </c>
    </row>
    <row r="17" spans="2:5" ht="15">
      <c r="B17" s="82">
        <v>5003003</v>
      </c>
      <c r="C17" s="83" t="s">
        <v>316</v>
      </c>
      <c r="D17" s="88">
        <v>245698742.59</v>
      </c>
      <c r="E17" s="81">
        <v>269801598.41</v>
      </c>
    </row>
    <row r="18" spans="2:5" ht="15">
      <c r="B18" s="82">
        <v>5003004</v>
      </c>
      <c r="C18" s="83" t="s">
        <v>317</v>
      </c>
      <c r="D18" s="81">
        <f>51477940-6400502</f>
        <v>45077438</v>
      </c>
      <c r="E18" s="81">
        <v>45077438</v>
      </c>
    </row>
    <row r="19" spans="2:5" ht="15">
      <c r="B19" s="82">
        <v>5003005</v>
      </c>
      <c r="C19" s="83" t="s">
        <v>318</v>
      </c>
      <c r="D19" s="88">
        <v>0</v>
      </c>
      <c r="E19" s="81">
        <v>0.1</v>
      </c>
    </row>
    <row r="20" spans="2:5" ht="15">
      <c r="B20" s="82">
        <v>5003006</v>
      </c>
      <c r="C20" s="83" t="s">
        <v>319</v>
      </c>
      <c r="D20" s="81">
        <v>-6198514.48</v>
      </c>
      <c r="E20" s="81">
        <v>-11780842.76</v>
      </c>
    </row>
    <row r="21" spans="2:5" ht="15">
      <c r="B21" s="82">
        <v>5003007</v>
      </c>
      <c r="C21" s="83" t="s">
        <v>320</v>
      </c>
      <c r="D21" s="81">
        <v>5727175.38</v>
      </c>
      <c r="E21" s="81">
        <v>13485092.78</v>
      </c>
    </row>
    <row r="22" spans="2:5" ht="15">
      <c r="B22" s="82">
        <v>5003008</v>
      </c>
      <c r="C22" s="83" t="s">
        <v>321</v>
      </c>
      <c r="D22" s="81">
        <v>457660.75</v>
      </c>
      <c r="E22" s="81">
        <v>731542.75</v>
      </c>
    </row>
    <row r="23" spans="2:4" ht="15">
      <c r="B23" s="85" t="s">
        <v>322</v>
      </c>
      <c r="C23" s="86" t="s">
        <v>323</v>
      </c>
      <c r="D23" s="87"/>
    </row>
    <row r="24" spans="2:5" ht="15">
      <c r="B24" s="82">
        <v>5004001</v>
      </c>
      <c r="C24" s="83" t="s">
        <v>324</v>
      </c>
      <c r="D24" s="88">
        <v>101719.05</v>
      </c>
      <c r="E24" s="81">
        <v>101719.05</v>
      </c>
    </row>
    <row r="25" spans="2:5" ht="15">
      <c r="B25" s="82">
        <v>5004002</v>
      </c>
      <c r="C25" s="83" t="s">
        <v>325</v>
      </c>
      <c r="D25" s="81">
        <v>5439.26</v>
      </c>
      <c r="E25" s="81">
        <v>5439.26</v>
      </c>
    </row>
    <row r="26" spans="2:5" ht="15">
      <c r="B26" s="82">
        <v>5004003</v>
      </c>
      <c r="C26" s="83" t="s">
        <v>326</v>
      </c>
      <c r="D26" s="81">
        <v>-7163559.29</v>
      </c>
      <c r="E26" s="81">
        <v>-7041703.29</v>
      </c>
    </row>
    <row r="27" spans="2:5" ht="15">
      <c r="B27" s="82">
        <v>5004004</v>
      </c>
      <c r="C27" s="83" t="s">
        <v>327</v>
      </c>
      <c r="D27" s="81">
        <v>23153.97</v>
      </c>
      <c r="E27" s="81">
        <v>23153.97</v>
      </c>
    </row>
    <row r="28" spans="2:5" ht="15">
      <c r="B28" s="82">
        <v>5004005</v>
      </c>
      <c r="C28" s="83" t="s">
        <v>328</v>
      </c>
      <c r="D28" s="81">
        <v>7028316.33</v>
      </c>
      <c r="E28" s="81">
        <v>7028316.33</v>
      </c>
    </row>
    <row r="29" spans="2:5" ht="15">
      <c r="B29" s="82">
        <v>5004006</v>
      </c>
      <c r="C29" s="83" t="s">
        <v>329</v>
      </c>
      <c r="D29" s="81">
        <v>263098.9</v>
      </c>
      <c r="E29" s="81">
        <v>263098.9</v>
      </c>
    </row>
    <row r="30" spans="2:4" ht="15">
      <c r="B30" s="85" t="s">
        <v>330</v>
      </c>
      <c r="C30" s="86" t="s">
        <v>331</v>
      </c>
      <c r="D30" s="87"/>
    </row>
    <row r="31" spans="2:5" ht="15">
      <c r="B31" s="82">
        <v>5005001</v>
      </c>
      <c r="C31" s="83" t="s">
        <v>332</v>
      </c>
      <c r="D31" s="81">
        <v>-125278</v>
      </c>
      <c r="E31" s="81">
        <v>-125278</v>
      </c>
    </row>
    <row r="32" spans="2:5" ht="15">
      <c r="B32" s="82">
        <v>5005002</v>
      </c>
      <c r="C32" s="83" t="s">
        <v>333</v>
      </c>
      <c r="D32" s="81">
        <v>-10219484.44</v>
      </c>
      <c r="E32" s="81">
        <v>-7947956.5</v>
      </c>
    </row>
    <row r="33" spans="2:5" ht="15">
      <c r="B33" s="82">
        <v>5005003</v>
      </c>
      <c r="C33" s="83" t="s">
        <v>331</v>
      </c>
      <c r="D33" s="81">
        <v>14995458.41</v>
      </c>
      <c r="E33" s="81">
        <v>15423931.46</v>
      </c>
    </row>
    <row r="34" spans="2:4" ht="15">
      <c r="B34" s="85" t="s">
        <v>334</v>
      </c>
      <c r="C34" s="86" t="s">
        <v>335</v>
      </c>
      <c r="D34" s="87"/>
    </row>
    <row r="35" spans="2:5" ht="15">
      <c r="B35" s="82">
        <v>5006001</v>
      </c>
      <c r="C35" s="83" t="s">
        <v>335</v>
      </c>
      <c r="D35" s="81">
        <v>1921.12</v>
      </c>
      <c r="E35" s="81">
        <v>1921.12</v>
      </c>
    </row>
    <row r="36" spans="2:5" ht="15">
      <c r="B36" s="82">
        <v>5006002</v>
      </c>
      <c r="C36" s="83" t="s">
        <v>336</v>
      </c>
      <c r="D36" s="81">
        <v>-1913</v>
      </c>
      <c r="E36" s="81">
        <v>-1913</v>
      </c>
    </row>
    <row r="37" spans="4:5" ht="15.75" thickBot="1">
      <c r="D37" s="90">
        <f>SUM(D6:D36)</f>
        <v>139498664.88</v>
      </c>
      <c r="E37" s="90">
        <f>SUM(E6:E36)</f>
        <v>143314374.4</v>
      </c>
    </row>
    <row r="38" ht="15.75" thickTop="1"/>
    <row r="39" spans="2:4" ht="15.75">
      <c r="B39" s="76">
        <v>6</v>
      </c>
      <c r="C39" s="77" t="s">
        <v>337</v>
      </c>
      <c r="D39" s="91"/>
    </row>
    <row r="40" spans="2:4" ht="15">
      <c r="B40" s="78" t="s">
        <v>338</v>
      </c>
      <c r="C40" s="79" t="s">
        <v>339</v>
      </c>
      <c r="D40" s="80"/>
    </row>
    <row r="41" spans="2:4" ht="15">
      <c r="B41" s="92"/>
      <c r="C41" s="93"/>
      <c r="D41" s="80"/>
    </row>
    <row r="42" spans="2:4" ht="15">
      <c r="B42" s="93" t="s">
        <v>340</v>
      </c>
      <c r="D42" s="80"/>
    </row>
    <row r="43" spans="2:5" s="94" customFormat="1" ht="15">
      <c r="B43" s="92"/>
      <c r="C43" s="93"/>
      <c r="D43" s="80"/>
      <c r="E43" s="81"/>
    </row>
    <row r="44" spans="2:5" ht="15">
      <c r="B44" s="89">
        <v>6006002</v>
      </c>
      <c r="C44" s="71" t="s">
        <v>341</v>
      </c>
      <c r="D44" s="95">
        <v>20000</v>
      </c>
      <c r="E44" s="95">
        <v>20000</v>
      </c>
    </row>
    <row r="45" spans="2:5" ht="15">
      <c r="B45" s="89">
        <v>13006254</v>
      </c>
      <c r="C45" s="71" t="s">
        <v>342</v>
      </c>
      <c r="D45" s="88">
        <v>100000</v>
      </c>
      <c r="E45" s="81">
        <v>100000</v>
      </c>
    </row>
    <row r="46" spans="4:5" ht="15.75" thickBot="1">
      <c r="D46" s="90">
        <f>SUM(D44:D45)</f>
        <v>120000</v>
      </c>
      <c r="E46" s="90">
        <f>SUM(E44:E45)</f>
        <v>120000</v>
      </c>
    </row>
    <row r="47" ht="15.75" thickTop="1"/>
    <row r="48" spans="2:4" ht="15">
      <c r="B48" s="96" t="s">
        <v>343</v>
      </c>
      <c r="D48" s="80"/>
    </row>
    <row r="50" spans="2:5" ht="15">
      <c r="B50" s="89">
        <v>6006003</v>
      </c>
      <c r="C50" s="71" t="s">
        <v>344</v>
      </c>
      <c r="D50" s="81">
        <v>1000</v>
      </c>
      <c r="E50" s="81">
        <v>1000</v>
      </c>
    </row>
    <row r="51" spans="2:5" ht="15">
      <c r="B51" s="89">
        <v>6006004</v>
      </c>
      <c r="C51" s="71" t="s">
        <v>345</v>
      </c>
      <c r="D51" s="81">
        <v>5500</v>
      </c>
      <c r="E51" s="81">
        <v>5500</v>
      </c>
    </row>
    <row r="52" spans="2:5" ht="15">
      <c r="B52" s="89">
        <v>6006005</v>
      </c>
      <c r="C52" s="71" t="s">
        <v>346</v>
      </c>
      <c r="D52" s="81">
        <v>1100</v>
      </c>
      <c r="E52" s="81">
        <v>1100</v>
      </c>
    </row>
    <row r="53" spans="2:5" ht="15">
      <c r="B53" s="89">
        <v>6006006</v>
      </c>
      <c r="C53" s="71" t="s">
        <v>347</v>
      </c>
      <c r="D53" s="81">
        <v>15000</v>
      </c>
      <c r="E53" s="81">
        <v>15000</v>
      </c>
    </row>
    <row r="54" spans="2:5" ht="15">
      <c r="B54" s="89">
        <v>6006007</v>
      </c>
      <c r="C54" s="71" t="s">
        <v>348</v>
      </c>
      <c r="D54" s="81">
        <v>25000</v>
      </c>
      <c r="E54" s="81">
        <v>25000</v>
      </c>
    </row>
    <row r="55" spans="2:5" ht="15">
      <c r="B55" s="89">
        <v>6006008</v>
      </c>
      <c r="C55" s="71" t="s">
        <v>349</v>
      </c>
      <c r="D55" s="81">
        <v>6500</v>
      </c>
      <c r="E55" s="81">
        <v>6500</v>
      </c>
    </row>
    <row r="56" spans="2:5" ht="15">
      <c r="B56" s="89">
        <v>6006009</v>
      </c>
      <c r="C56" s="71" t="s">
        <v>350</v>
      </c>
      <c r="D56" s="81">
        <v>25000</v>
      </c>
      <c r="E56" s="81">
        <v>25000</v>
      </c>
    </row>
    <row r="57" spans="4:5" ht="15.75" thickBot="1">
      <c r="D57" s="90">
        <f>SUM(D50:D56)</f>
        <v>79100</v>
      </c>
      <c r="E57" s="90">
        <f>SUM(E50:E56)</f>
        <v>79100</v>
      </c>
    </row>
    <row r="58" spans="2:5" ht="15.75" thickTop="1">
      <c r="B58" s="109" t="s">
        <v>1640</v>
      </c>
      <c r="E58" s="110"/>
    </row>
    <row r="59" spans="2:4" ht="15">
      <c r="B59" s="109" t="s">
        <v>570</v>
      </c>
      <c r="C59" s="96"/>
      <c r="D59" s="80"/>
    </row>
    <row r="60" ht="15">
      <c r="B60" s="109"/>
    </row>
    <row r="61" spans="2:5" s="94" customFormat="1" ht="15">
      <c r="B61" s="78" t="s">
        <v>571</v>
      </c>
      <c r="C61" s="79" t="s">
        <v>572</v>
      </c>
      <c r="D61" s="80"/>
      <c r="E61" s="81"/>
    </row>
    <row r="62" spans="2:5" ht="15">
      <c r="B62" s="89">
        <v>12011001</v>
      </c>
      <c r="C62" s="71" t="s">
        <v>573</v>
      </c>
      <c r="D62" s="81">
        <v>20727.23</v>
      </c>
      <c r="E62" s="81">
        <v>20727.23</v>
      </c>
    </row>
    <row r="63" spans="2:8" ht="15">
      <c r="B63" s="89">
        <v>12011002</v>
      </c>
      <c r="C63" s="71" t="s">
        <v>574</v>
      </c>
      <c r="D63" s="81">
        <v>3821.3</v>
      </c>
      <c r="E63" s="81">
        <v>12189.88</v>
      </c>
      <c r="G63" s="92"/>
      <c r="H63" s="93"/>
    </row>
    <row r="64" spans="2:5" ht="15">
      <c r="B64" s="89">
        <v>12011008</v>
      </c>
      <c r="C64" s="71" t="s">
        <v>575</v>
      </c>
      <c r="D64" s="81">
        <v>27963</v>
      </c>
      <c r="E64" s="81">
        <v>-6489</v>
      </c>
    </row>
    <row r="65" spans="2:5" ht="15">
      <c r="B65" s="89">
        <v>12011012</v>
      </c>
      <c r="C65" s="71" t="s">
        <v>576</v>
      </c>
      <c r="D65" s="81">
        <v>371862.2</v>
      </c>
      <c r="E65" s="81">
        <v>76631.63</v>
      </c>
    </row>
    <row r="66" spans="2:5" ht="15">
      <c r="B66" s="89">
        <v>12011013</v>
      </c>
      <c r="C66" s="71" t="s">
        <v>577</v>
      </c>
      <c r="D66" s="81">
        <v>10537.2</v>
      </c>
      <c r="E66" s="81">
        <v>11873.2</v>
      </c>
    </row>
    <row r="67" spans="2:5" ht="15">
      <c r="B67" s="89">
        <v>12011014</v>
      </c>
      <c r="C67" s="71" t="s">
        <v>578</v>
      </c>
      <c r="D67" s="81">
        <v>577240</v>
      </c>
      <c r="E67" s="81">
        <v>600240</v>
      </c>
    </row>
    <row r="68" spans="2:5" ht="15">
      <c r="B68" s="89">
        <v>12011015</v>
      </c>
      <c r="C68" s="71" t="s">
        <v>579</v>
      </c>
      <c r="D68" s="81">
        <v>96593</v>
      </c>
      <c r="E68" s="81">
        <v>96593</v>
      </c>
    </row>
    <row r="69" spans="2:5" ht="15">
      <c r="B69" s="89">
        <v>12011016</v>
      </c>
      <c r="C69" s="71" t="s">
        <v>580</v>
      </c>
      <c r="D69" s="81">
        <v>19150</v>
      </c>
      <c r="E69" s="81">
        <v>19150</v>
      </c>
    </row>
    <row r="70" spans="2:5" ht="15">
      <c r="B70" s="89">
        <v>12011017</v>
      </c>
      <c r="C70" s="71" t="s">
        <v>581</v>
      </c>
      <c r="D70" s="81">
        <v>3883</v>
      </c>
      <c r="E70" s="81">
        <v>5663</v>
      </c>
    </row>
    <row r="71" spans="2:5" ht="15">
      <c r="B71" s="89">
        <v>12011020</v>
      </c>
      <c r="C71" s="71" t="s">
        <v>582</v>
      </c>
      <c r="D71" s="81">
        <v>49442.71</v>
      </c>
      <c r="E71" s="81">
        <v>49442.71</v>
      </c>
    </row>
    <row r="72" spans="2:5" ht="15">
      <c r="B72" s="89">
        <v>12011023</v>
      </c>
      <c r="C72" s="71" t="s">
        <v>583</v>
      </c>
      <c r="D72" s="81">
        <v>1000.2</v>
      </c>
      <c r="E72" s="81">
        <v>0</v>
      </c>
    </row>
    <row r="73" spans="2:8" s="94" customFormat="1" ht="15">
      <c r="B73" s="89">
        <v>12011040</v>
      </c>
      <c r="C73" s="71" t="s">
        <v>584</v>
      </c>
      <c r="D73" s="81">
        <v>82717.84</v>
      </c>
      <c r="E73" s="81">
        <v>98533.34</v>
      </c>
      <c r="F73" s="71"/>
      <c r="G73" s="71"/>
      <c r="H73" s="71"/>
    </row>
    <row r="74" spans="2:8" s="94" customFormat="1" ht="15">
      <c r="B74" s="89">
        <v>12011043</v>
      </c>
      <c r="C74" s="71" t="s">
        <v>585</v>
      </c>
      <c r="D74" s="81">
        <v>0</v>
      </c>
      <c r="E74" s="81">
        <v>2000</v>
      </c>
      <c r="F74" s="71"/>
      <c r="G74" s="71"/>
      <c r="H74" s="71"/>
    </row>
    <row r="75" spans="2:5" ht="15">
      <c r="B75" s="89">
        <v>12011045</v>
      </c>
      <c r="C75" s="71" t="s">
        <v>586</v>
      </c>
      <c r="D75" s="81">
        <v>126</v>
      </c>
      <c r="E75" s="81">
        <v>126</v>
      </c>
    </row>
    <row r="76" spans="2:5" ht="15">
      <c r="B76" s="89" t="s">
        <v>587</v>
      </c>
      <c r="C76" s="71" t="s">
        <v>588</v>
      </c>
      <c r="D76" s="81">
        <v>14500</v>
      </c>
      <c r="E76" s="81">
        <v>0</v>
      </c>
    </row>
    <row r="77" spans="2:5" ht="15">
      <c r="B77" s="89">
        <v>12011051</v>
      </c>
      <c r="C77" s="71" t="s">
        <v>589</v>
      </c>
      <c r="D77" s="81">
        <v>0</v>
      </c>
      <c r="E77" s="81">
        <v>30000</v>
      </c>
    </row>
    <row r="78" spans="2:6" ht="15">
      <c r="B78" s="89" t="s">
        <v>590</v>
      </c>
      <c r="C78" s="71" t="s">
        <v>591</v>
      </c>
      <c r="D78" s="81">
        <v>3000</v>
      </c>
      <c r="E78" s="81">
        <v>0</v>
      </c>
      <c r="F78" s="96"/>
    </row>
    <row r="79" spans="4:5" ht="15.75" thickBot="1">
      <c r="D79" s="90">
        <f>SUM(D62:D78)</f>
        <v>1282563.68</v>
      </c>
      <c r="E79" s="90">
        <f>SUM(E62:E78)</f>
        <v>1016680.9899999999</v>
      </c>
    </row>
    <row r="80" spans="2:5" ht="15.75" thickTop="1">
      <c r="B80" s="114"/>
      <c r="D80" s="110"/>
      <c r="E80" s="110"/>
    </row>
    <row r="81" spans="2:5" ht="15">
      <c r="B81" s="109" t="s">
        <v>1639</v>
      </c>
      <c r="D81" s="110"/>
      <c r="E81" s="110"/>
    </row>
    <row r="82" spans="2:5" ht="15.75">
      <c r="B82" s="119" t="s">
        <v>1386</v>
      </c>
      <c r="C82" s="135" t="s">
        <v>1387</v>
      </c>
      <c r="D82" s="120">
        <v>15000</v>
      </c>
      <c r="E82" s="103">
        <v>0</v>
      </c>
    </row>
    <row r="83" spans="2:5" ht="15">
      <c r="B83" s="89" t="s">
        <v>733</v>
      </c>
      <c r="C83" s="111" t="s">
        <v>734</v>
      </c>
      <c r="D83" s="81">
        <v>200000</v>
      </c>
      <c r="E83" s="103">
        <v>0</v>
      </c>
    </row>
    <row r="84" spans="2:5" ht="15">
      <c r="B84" s="113">
        <v>12046001</v>
      </c>
      <c r="C84" s="112" t="s">
        <v>596</v>
      </c>
      <c r="D84" s="95">
        <v>318435.22</v>
      </c>
      <c r="E84" s="177">
        <f>29435.22</f>
        <v>29435.22</v>
      </c>
    </row>
    <row r="85" spans="2:5" ht="15">
      <c r="B85" s="89">
        <v>13006205</v>
      </c>
      <c r="C85" s="71" t="s">
        <v>592</v>
      </c>
      <c r="D85" s="81">
        <v>59414</v>
      </c>
      <c r="E85" s="81">
        <v>59414</v>
      </c>
    </row>
    <row r="86" spans="2:5" ht="15">
      <c r="B86" s="89" t="s">
        <v>593</v>
      </c>
      <c r="C86" s="71" t="s">
        <v>594</v>
      </c>
      <c r="D86" s="81">
        <f>453151.54-79172</f>
        <v>373979.54</v>
      </c>
      <c r="E86" s="81">
        <v>6501352</v>
      </c>
    </row>
    <row r="87" spans="2:5" ht="15">
      <c r="B87" s="89">
        <v>12046006</v>
      </c>
      <c r="C87" s="71" t="s">
        <v>595</v>
      </c>
      <c r="D87" s="81">
        <v>125428.35</v>
      </c>
      <c r="E87" s="176">
        <f>27549.35</f>
        <v>27549.35</v>
      </c>
    </row>
    <row r="88" spans="2:5" ht="15">
      <c r="B88" s="113"/>
      <c r="C88" s="112"/>
      <c r="D88" s="95"/>
      <c r="E88" s="95"/>
    </row>
    <row r="89" spans="2:5" ht="15.75" thickBot="1">
      <c r="B89" s="114"/>
      <c r="D89" s="90">
        <f>SUM(D82:D88)</f>
        <v>1092257.11</v>
      </c>
      <c r="E89" s="90">
        <f>SUM(E82:E88)</f>
        <v>6617750.569999999</v>
      </c>
    </row>
    <row r="90" spans="2:5" ht="15.75" thickTop="1">
      <c r="B90" s="114"/>
      <c r="D90" s="110"/>
      <c r="E90" s="110"/>
    </row>
    <row r="92" spans="2:4" ht="15.75">
      <c r="B92" s="76">
        <v>7</v>
      </c>
      <c r="C92" s="77" t="s">
        <v>351</v>
      </c>
      <c r="D92" s="91"/>
    </row>
    <row r="93" spans="2:4" ht="15">
      <c r="B93" s="78" t="s">
        <v>352</v>
      </c>
      <c r="C93" s="79" t="s">
        <v>353</v>
      </c>
      <c r="D93" s="80"/>
    </row>
    <row r="94" spans="2:4" ht="15">
      <c r="B94" s="92"/>
      <c r="C94" s="93"/>
      <c r="D94" s="80"/>
    </row>
    <row r="95" spans="2:6" ht="15.75" thickBot="1">
      <c r="B95" s="89">
        <v>7001001</v>
      </c>
      <c r="C95" s="71" t="s">
        <v>354</v>
      </c>
      <c r="D95" s="97">
        <v>109447410</v>
      </c>
      <c r="E95" s="98">
        <v>109447410</v>
      </c>
      <c r="F95" s="96"/>
    </row>
    <row r="96" spans="5:6" ht="15.75" thickTop="1">
      <c r="E96" s="80"/>
      <c r="F96" s="96"/>
    </row>
    <row r="97" spans="4:5" ht="15">
      <c r="D97" s="110"/>
      <c r="E97" s="110"/>
    </row>
    <row r="98" spans="2:6" ht="15">
      <c r="B98" s="78" t="s">
        <v>776</v>
      </c>
      <c r="C98" s="79" t="s">
        <v>777</v>
      </c>
      <c r="D98" s="101"/>
      <c r="F98" s="96"/>
    </row>
    <row r="99" spans="2:5" ht="15">
      <c r="B99" s="89">
        <v>12001001</v>
      </c>
      <c r="C99" s="71" t="s">
        <v>778</v>
      </c>
      <c r="D99" s="81">
        <v>9770879.32</v>
      </c>
      <c r="E99" s="81">
        <v>9776869.08</v>
      </c>
    </row>
    <row r="101" spans="2:6" ht="15">
      <c r="B101" s="78" t="s">
        <v>779</v>
      </c>
      <c r="C101" s="79" t="s">
        <v>780</v>
      </c>
      <c r="D101" s="101"/>
      <c r="F101" s="96"/>
    </row>
    <row r="102" spans="2:5" ht="15">
      <c r="B102" s="89">
        <v>12006001</v>
      </c>
      <c r="C102" s="71" t="s">
        <v>781</v>
      </c>
      <c r="D102" s="81">
        <v>30421198.36</v>
      </c>
      <c r="E102" s="81">
        <v>30421198.36</v>
      </c>
    </row>
    <row r="104" spans="3:6" ht="15">
      <c r="C104" s="79" t="s">
        <v>782</v>
      </c>
      <c r="D104" s="101"/>
      <c r="F104" s="96"/>
    </row>
    <row r="105" spans="2:6" ht="15">
      <c r="B105" s="89" t="s">
        <v>783</v>
      </c>
      <c r="C105" s="71" t="s">
        <v>784</v>
      </c>
      <c r="D105" s="81">
        <f>45533568.6-6000+472</f>
        <v>45528040.6</v>
      </c>
      <c r="E105" s="81">
        <f>99397347.6-16106928-22969358</f>
        <v>60321061.599999994</v>
      </c>
      <c r="F105" s="96"/>
    </row>
    <row r="106" ht="15">
      <c r="F106" s="96"/>
    </row>
    <row r="107" spans="2:4" ht="15">
      <c r="B107" s="78" t="s">
        <v>749</v>
      </c>
      <c r="C107" s="79" t="s">
        <v>1638</v>
      </c>
      <c r="D107" s="80"/>
    </row>
    <row r="108" spans="2:5" ht="15">
      <c r="B108" s="89">
        <v>12041005</v>
      </c>
      <c r="C108" s="71" t="s">
        <v>753</v>
      </c>
      <c r="D108" s="81">
        <v>500</v>
      </c>
      <c r="E108" s="81">
        <v>500</v>
      </c>
    </row>
    <row r="109" spans="2:5" ht="15">
      <c r="B109" s="89">
        <v>12041006</v>
      </c>
      <c r="C109" s="71" t="s">
        <v>754</v>
      </c>
      <c r="D109" s="81">
        <v>0</v>
      </c>
      <c r="E109" s="81">
        <v>30000</v>
      </c>
    </row>
    <row r="110" spans="2:5" ht="15">
      <c r="B110" s="89">
        <v>12041007</v>
      </c>
      <c r="C110" s="71" t="s">
        <v>755</v>
      </c>
      <c r="D110" s="81">
        <v>61668</v>
      </c>
      <c r="E110" s="81">
        <v>61668</v>
      </c>
    </row>
    <row r="111" spans="2:5" ht="15">
      <c r="B111" s="89">
        <v>10011053</v>
      </c>
      <c r="C111" s="71" t="s">
        <v>756</v>
      </c>
      <c r="D111" s="81">
        <v>327287</v>
      </c>
      <c r="E111" s="80">
        <v>327287</v>
      </c>
    </row>
    <row r="112" spans="2:5" ht="15">
      <c r="B112" s="89">
        <v>12041014</v>
      </c>
      <c r="C112" s="71" t="s">
        <v>757</v>
      </c>
      <c r="D112" s="81">
        <v>10225</v>
      </c>
      <c r="E112" s="81">
        <v>10225</v>
      </c>
    </row>
    <row r="113" spans="2:5" ht="15">
      <c r="B113" s="89">
        <v>12041015</v>
      </c>
      <c r="C113" s="71" t="s">
        <v>758</v>
      </c>
      <c r="D113" s="81">
        <v>40000</v>
      </c>
      <c r="E113" s="81">
        <v>65000</v>
      </c>
    </row>
    <row r="114" spans="2:5" ht="15">
      <c r="B114" s="89">
        <v>12041016</v>
      </c>
      <c r="C114" s="71" t="s">
        <v>759</v>
      </c>
      <c r="D114" s="81">
        <v>500</v>
      </c>
      <c r="E114" s="81">
        <v>500</v>
      </c>
    </row>
    <row r="115" spans="2:5" ht="15">
      <c r="B115" s="89">
        <v>12041017</v>
      </c>
      <c r="C115" s="71" t="s">
        <v>760</v>
      </c>
      <c r="D115" s="81">
        <v>5974900</v>
      </c>
      <c r="E115" s="81">
        <v>9000099</v>
      </c>
    </row>
    <row r="116" spans="2:5" ht="15">
      <c r="B116" s="89">
        <v>12041019</v>
      </c>
      <c r="C116" s="71" t="s">
        <v>761</v>
      </c>
      <c r="D116" s="81">
        <v>0</v>
      </c>
      <c r="E116" s="81">
        <v>6081</v>
      </c>
    </row>
    <row r="117" spans="2:5" ht="15">
      <c r="B117" s="89">
        <v>12041032</v>
      </c>
      <c r="C117" s="71" t="s">
        <v>762</v>
      </c>
      <c r="D117" s="81">
        <v>13500</v>
      </c>
      <c r="E117" s="81">
        <v>6700</v>
      </c>
    </row>
    <row r="118" spans="2:5" ht="15">
      <c r="B118" s="89">
        <v>12041035</v>
      </c>
      <c r="C118" s="71" t="s">
        <v>763</v>
      </c>
      <c r="D118" s="81">
        <f>150180.75-16821</f>
        <v>133359.75</v>
      </c>
      <c r="E118" s="80">
        <v>148884.75</v>
      </c>
    </row>
    <row r="119" spans="2:5" ht="15">
      <c r="B119" s="89">
        <v>12041036</v>
      </c>
      <c r="C119" s="71" t="s">
        <v>764</v>
      </c>
      <c r="D119" s="81">
        <v>37500</v>
      </c>
      <c r="E119" s="81">
        <v>37500</v>
      </c>
    </row>
    <row r="120" spans="2:5" ht="15">
      <c r="B120" s="89">
        <v>12041037</v>
      </c>
      <c r="C120" s="71" t="s">
        <v>765</v>
      </c>
      <c r="D120" s="81">
        <v>39000</v>
      </c>
      <c r="E120" s="81">
        <v>39000</v>
      </c>
    </row>
    <row r="121" spans="2:5" ht="15">
      <c r="B121" s="89">
        <v>12041061</v>
      </c>
      <c r="C121" s="71" t="s">
        <v>769</v>
      </c>
      <c r="D121" s="81">
        <v>307100</v>
      </c>
      <c r="E121" s="81">
        <v>307100</v>
      </c>
    </row>
    <row r="122" spans="2:5" ht="15">
      <c r="B122" s="89">
        <v>12041109</v>
      </c>
      <c r="C122" s="71" t="s">
        <v>770</v>
      </c>
      <c r="D122" s="81">
        <v>200000</v>
      </c>
      <c r="E122" s="81">
        <v>200000</v>
      </c>
    </row>
    <row r="123" spans="2:5" ht="15">
      <c r="B123" s="89">
        <v>12041110</v>
      </c>
      <c r="C123" s="71" t="s">
        <v>771</v>
      </c>
      <c r="D123" s="81">
        <v>13741879.81</v>
      </c>
      <c r="E123" s="81">
        <v>10700310</v>
      </c>
    </row>
    <row r="124" spans="2:5" ht="15">
      <c r="B124" s="89">
        <v>13011043</v>
      </c>
      <c r="C124" s="71" t="s">
        <v>772</v>
      </c>
      <c r="D124" s="81">
        <v>3266.82</v>
      </c>
      <c r="E124" s="81">
        <v>3266.82</v>
      </c>
    </row>
    <row r="125" spans="4:6" ht="15.75" thickBot="1">
      <c r="D125" s="90">
        <f>SUM(D108:D124)</f>
        <v>20890686.380000003</v>
      </c>
      <c r="E125" s="175">
        <f>SUM(E108:E124)</f>
        <v>20944121.57</v>
      </c>
      <c r="F125" s="162">
        <f>+E125-23357978</f>
        <v>-2413856.4299999997</v>
      </c>
    </row>
    <row r="126" spans="4:6" ht="15.75" thickTop="1">
      <c r="D126" s="110"/>
      <c r="E126" s="110"/>
      <c r="F126" s="96"/>
    </row>
    <row r="127" spans="2:6" ht="15">
      <c r="B127" s="78" t="s">
        <v>729</v>
      </c>
      <c r="C127" s="79" t="s">
        <v>730</v>
      </c>
      <c r="D127" s="80"/>
      <c r="F127" s="96"/>
    </row>
    <row r="128" spans="2:5" ht="15">
      <c r="B128" s="89" t="s">
        <v>731</v>
      </c>
      <c r="C128" s="71" t="s">
        <v>732</v>
      </c>
      <c r="D128" s="81">
        <v>1475293.51</v>
      </c>
      <c r="E128" s="81">
        <f>11519321.61-1</f>
        <v>11519320.61</v>
      </c>
    </row>
    <row r="129" spans="4:6" ht="15">
      <c r="D129" s="110"/>
      <c r="E129" s="110"/>
      <c r="F129" s="96"/>
    </row>
    <row r="130" spans="2:6" ht="15">
      <c r="B130" s="89">
        <v>12031005</v>
      </c>
      <c r="C130" s="71" t="s">
        <v>741</v>
      </c>
      <c r="D130" s="117">
        <v>16531200</v>
      </c>
      <c r="E130" s="80">
        <v>16531200</v>
      </c>
      <c r="F130" s="96"/>
    </row>
    <row r="131" spans="4:6" ht="15">
      <c r="D131" s="110"/>
      <c r="E131" s="110"/>
      <c r="F131" s="96"/>
    </row>
    <row r="132" spans="2:6" ht="15">
      <c r="B132" s="78" t="s">
        <v>735</v>
      </c>
      <c r="C132" s="79" t="s">
        <v>736</v>
      </c>
      <c r="D132" s="80"/>
      <c r="F132" s="96"/>
    </row>
    <row r="133" spans="2:5" ht="15">
      <c r="B133" s="89">
        <v>12031001</v>
      </c>
      <c r="C133" s="71" t="s">
        <v>737</v>
      </c>
      <c r="D133" s="81">
        <v>2439637</v>
      </c>
      <c r="E133" s="81">
        <v>2386288</v>
      </c>
    </row>
    <row r="134" spans="2:5" ht="15">
      <c r="B134" s="89">
        <v>12031002</v>
      </c>
      <c r="C134" s="71" t="s">
        <v>738</v>
      </c>
      <c r="D134" s="81">
        <f>1063958+4562+12276+79172-472</f>
        <v>1159496</v>
      </c>
      <c r="E134" s="81">
        <v>862598</v>
      </c>
    </row>
    <row r="135" spans="2:5" ht="15">
      <c r="B135" s="89">
        <v>12031004</v>
      </c>
      <c r="C135" s="71" t="s">
        <v>739</v>
      </c>
      <c r="D135" s="115">
        <v>16028235</v>
      </c>
      <c r="E135" s="81">
        <v>16028235</v>
      </c>
    </row>
    <row r="136" spans="4:5" ht="15">
      <c r="D136" s="116">
        <f>SUM(D133:D135)</f>
        <v>19627368</v>
      </c>
      <c r="E136" s="116">
        <f>SUM(E133:E135)</f>
        <v>19277121</v>
      </c>
    </row>
    <row r="137" spans="2:5" ht="15">
      <c r="B137" s="89">
        <v>14001002</v>
      </c>
      <c r="C137" s="71" t="s">
        <v>740</v>
      </c>
      <c r="D137" s="115">
        <v>16531200</v>
      </c>
      <c r="E137" s="81">
        <v>16531200</v>
      </c>
    </row>
    <row r="138" spans="4:5" ht="15.75" thickBot="1">
      <c r="D138" s="90">
        <f>D136-D137</f>
        <v>3096168</v>
      </c>
      <c r="E138" s="90">
        <f>E136-E137</f>
        <v>2745921</v>
      </c>
    </row>
    <row r="139" spans="4:6" ht="15.75" thickTop="1">
      <c r="D139" s="110"/>
      <c r="E139" s="110"/>
      <c r="F139" s="96"/>
    </row>
    <row r="140" ht="15">
      <c r="F140" s="96"/>
    </row>
    <row r="142" spans="2:4" ht="15.75">
      <c r="B142" s="76">
        <v>8</v>
      </c>
      <c r="C142" s="77" t="s">
        <v>355</v>
      </c>
      <c r="D142" s="91"/>
    </row>
    <row r="143" spans="2:3" ht="15">
      <c r="B143" s="99"/>
      <c r="C143" s="94"/>
    </row>
    <row r="144" spans="2:6" ht="15">
      <c r="B144" s="78" t="s">
        <v>356</v>
      </c>
      <c r="C144" s="79" t="s">
        <v>357</v>
      </c>
      <c r="D144" s="80"/>
      <c r="F144" s="96"/>
    </row>
    <row r="145" spans="2:5" ht="15">
      <c r="B145" s="89">
        <v>8006001</v>
      </c>
      <c r="C145" s="71" t="s">
        <v>358</v>
      </c>
      <c r="D145" s="81">
        <v>10277870.96</v>
      </c>
      <c r="E145" s="81">
        <v>314530.48</v>
      </c>
    </row>
    <row r="146" spans="2:4" ht="15">
      <c r="B146" s="92"/>
      <c r="C146" s="93"/>
      <c r="D146" s="80"/>
    </row>
    <row r="147" spans="2:4" ht="15">
      <c r="B147" s="78" t="s">
        <v>359</v>
      </c>
      <c r="C147" s="79" t="s">
        <v>360</v>
      </c>
      <c r="D147" s="80"/>
    </row>
    <row r="148" spans="2:5" ht="15">
      <c r="B148" s="89">
        <v>8011001</v>
      </c>
      <c r="C148" s="71" t="s">
        <v>361</v>
      </c>
      <c r="D148" s="81">
        <v>5053737.61</v>
      </c>
      <c r="E148" s="81">
        <v>3609070.69</v>
      </c>
    </row>
    <row r="149" spans="2:4" ht="15">
      <c r="B149" s="92"/>
      <c r="C149" s="93"/>
      <c r="D149" s="80"/>
    </row>
    <row r="150" spans="2:4" ht="15">
      <c r="B150" s="78" t="s">
        <v>362</v>
      </c>
      <c r="C150" s="79" t="s">
        <v>363</v>
      </c>
      <c r="D150" s="80"/>
    </row>
    <row r="151" spans="2:5" ht="15">
      <c r="B151" s="89">
        <v>8021001</v>
      </c>
      <c r="C151" s="71" t="s">
        <v>364</v>
      </c>
      <c r="D151" s="81">
        <v>33957243.8</v>
      </c>
      <c r="E151" s="81">
        <v>26628598.5</v>
      </c>
    </row>
    <row r="152" spans="2:4" ht="15">
      <c r="B152" s="92"/>
      <c r="C152" s="93"/>
      <c r="D152" s="80"/>
    </row>
    <row r="153" spans="2:4" ht="15">
      <c r="B153" s="78" t="s">
        <v>365</v>
      </c>
      <c r="C153" s="79" t="s">
        <v>366</v>
      </c>
      <c r="D153" s="80"/>
    </row>
    <row r="154" spans="2:6" ht="15">
      <c r="B154" s="89">
        <v>8016001</v>
      </c>
      <c r="C154" s="71" t="s">
        <v>367</v>
      </c>
      <c r="D154" s="81">
        <v>627534</v>
      </c>
      <c r="E154" s="81">
        <v>475716</v>
      </c>
      <c r="F154" s="162">
        <f>627534-D154</f>
        <v>0</v>
      </c>
    </row>
    <row r="155" spans="2:4" ht="15">
      <c r="B155" s="92"/>
      <c r="C155" s="93"/>
      <c r="D155" s="80"/>
    </row>
    <row r="156" spans="2:5" ht="15">
      <c r="B156" s="89">
        <v>8001008</v>
      </c>
      <c r="C156" s="71" t="s">
        <v>368</v>
      </c>
      <c r="D156" s="81">
        <f>101787500+68250000</f>
        <v>170037500</v>
      </c>
      <c r="E156" s="81">
        <v>101787500</v>
      </c>
    </row>
    <row r="157" spans="2:4" ht="15">
      <c r="B157" s="92"/>
      <c r="C157" s="93"/>
      <c r="D157" s="80"/>
    </row>
    <row r="158" spans="2:4" ht="15">
      <c r="B158" s="78" t="s">
        <v>369</v>
      </c>
      <c r="C158" s="79" t="s">
        <v>370</v>
      </c>
      <c r="D158" s="80"/>
    </row>
    <row r="159" spans="2:4" ht="15">
      <c r="B159" s="92"/>
      <c r="C159" s="93"/>
      <c r="D159" s="80"/>
    </row>
    <row r="160" spans="2:5" ht="15">
      <c r="B160" s="89">
        <v>8001001</v>
      </c>
      <c r="C160" s="71" t="s">
        <v>371</v>
      </c>
      <c r="D160" s="81">
        <f>3851062.58-715701.21</f>
        <v>3135361.37</v>
      </c>
      <c r="E160" s="95">
        <v>3531057.08</v>
      </c>
    </row>
    <row r="161" spans="2:8" ht="15">
      <c r="B161" s="89">
        <v>8001002</v>
      </c>
      <c r="C161" s="71" t="s">
        <v>372</v>
      </c>
      <c r="D161" s="95">
        <v>15000</v>
      </c>
      <c r="E161" s="95">
        <v>15000</v>
      </c>
      <c r="F161" s="94"/>
      <c r="G161" s="94"/>
      <c r="H161" s="94"/>
    </row>
    <row r="162" spans="2:8" ht="15">
      <c r="B162" s="89">
        <v>8001003</v>
      </c>
      <c r="C162" s="71" t="s">
        <v>373</v>
      </c>
      <c r="D162" s="95">
        <v>1750</v>
      </c>
      <c r="E162" s="95">
        <v>1750</v>
      </c>
      <c r="F162" s="94"/>
      <c r="G162" s="94"/>
      <c r="H162" s="94"/>
    </row>
    <row r="163" spans="4:5" ht="15">
      <c r="D163" s="100">
        <f>SUM(D160:D162)</f>
        <v>3152111.37</v>
      </c>
      <c r="E163" s="100">
        <f>SUM(E160:E162)</f>
        <v>3547807.08</v>
      </c>
    </row>
    <row r="165" spans="3:5" ht="15.75" thickBot="1">
      <c r="C165" s="96" t="s">
        <v>374</v>
      </c>
      <c r="D165" s="90">
        <f>D163+D156+D154+D151+D148+D145</f>
        <v>223105997.74000004</v>
      </c>
      <c r="E165" s="90">
        <f>E163+E156+E154+E151+E148+E145</f>
        <v>136363222.75</v>
      </c>
    </row>
    <row r="166" ht="15.75" thickTop="1"/>
    <row r="167" spans="2:4" ht="15.75">
      <c r="B167" s="76">
        <v>9</v>
      </c>
      <c r="C167" s="77" t="s">
        <v>375</v>
      </c>
      <c r="D167" s="91"/>
    </row>
    <row r="168" spans="2:4" ht="15">
      <c r="B168" s="78" t="s">
        <v>376</v>
      </c>
      <c r="C168" s="79" t="s">
        <v>377</v>
      </c>
      <c r="D168" s="101"/>
    </row>
    <row r="169" spans="2:5" ht="15">
      <c r="B169" s="89" t="s">
        <v>378</v>
      </c>
      <c r="C169" s="71" t="s">
        <v>379</v>
      </c>
      <c r="D169" s="81">
        <v>0</v>
      </c>
      <c r="E169" s="81">
        <v>166</v>
      </c>
    </row>
    <row r="170" spans="2:5" ht="15">
      <c r="B170" s="89" t="s">
        <v>380</v>
      </c>
      <c r="C170" s="71" t="s">
        <v>381</v>
      </c>
      <c r="D170" s="81">
        <v>0</v>
      </c>
      <c r="E170" s="81">
        <v>869000.5</v>
      </c>
    </row>
    <row r="171" spans="2:5" ht="15">
      <c r="B171" s="89" t="s">
        <v>382</v>
      </c>
      <c r="C171" s="71" t="s">
        <v>383</v>
      </c>
      <c r="D171" s="81">
        <v>0</v>
      </c>
      <c r="E171" s="81">
        <v>664</v>
      </c>
    </row>
    <row r="172" spans="2:5" ht="15">
      <c r="B172" s="89" t="s">
        <v>384</v>
      </c>
      <c r="C172" s="71" t="s">
        <v>385</v>
      </c>
      <c r="D172" s="81">
        <v>0</v>
      </c>
      <c r="E172" s="81">
        <v>3315</v>
      </c>
    </row>
    <row r="173" spans="2:5" ht="15">
      <c r="B173" s="89" t="s">
        <v>386</v>
      </c>
      <c r="C173" s="71" t="s">
        <v>387</v>
      </c>
      <c r="D173" s="81">
        <v>42803.81</v>
      </c>
      <c r="E173" s="81">
        <v>42803.81</v>
      </c>
    </row>
    <row r="174" spans="2:5" ht="15">
      <c r="B174" s="89" t="s">
        <v>388</v>
      </c>
      <c r="C174" s="71" t="s">
        <v>389</v>
      </c>
      <c r="D174" s="81">
        <v>0</v>
      </c>
      <c r="E174" s="81">
        <v>98087</v>
      </c>
    </row>
    <row r="175" spans="2:5" ht="15">
      <c r="B175" s="89" t="s">
        <v>390</v>
      </c>
      <c r="C175" s="71" t="s">
        <v>391</v>
      </c>
      <c r="D175" s="81">
        <v>389067.6</v>
      </c>
      <c r="E175" s="81">
        <v>298867.6</v>
      </c>
    </row>
    <row r="176" spans="2:5" ht="15">
      <c r="B176" s="89" t="s">
        <v>392</v>
      </c>
      <c r="C176" s="71" t="s">
        <v>393</v>
      </c>
      <c r="D176" s="81">
        <v>5192</v>
      </c>
      <c r="E176" s="81">
        <v>5192</v>
      </c>
    </row>
    <row r="177" spans="2:5" ht="15">
      <c r="B177" s="89" t="s">
        <v>394</v>
      </c>
      <c r="C177" s="71" t="s">
        <v>395</v>
      </c>
      <c r="D177" s="81">
        <v>8770</v>
      </c>
      <c r="E177" s="81">
        <v>0</v>
      </c>
    </row>
    <row r="178" spans="2:5" ht="15">
      <c r="B178" s="89" t="s">
        <v>396</v>
      </c>
      <c r="C178" s="71" t="s">
        <v>397</v>
      </c>
      <c r="D178" s="81">
        <v>136983</v>
      </c>
      <c r="E178" s="81">
        <v>565850</v>
      </c>
    </row>
    <row r="179" spans="2:5" ht="15">
      <c r="B179" s="89" t="s">
        <v>398</v>
      </c>
      <c r="C179" s="71" t="s">
        <v>399</v>
      </c>
      <c r="D179" s="81">
        <v>501623</v>
      </c>
      <c r="E179" s="81">
        <v>558368</v>
      </c>
    </row>
    <row r="180" spans="2:5" ht="15" customHeight="1">
      <c r="B180" s="89" t="s">
        <v>400</v>
      </c>
      <c r="C180" s="71" t="s">
        <v>401</v>
      </c>
      <c r="D180" s="81">
        <v>0</v>
      </c>
      <c r="E180" s="81">
        <v>277116</v>
      </c>
    </row>
    <row r="181" spans="2:5" ht="15">
      <c r="B181" s="89" t="s">
        <v>402</v>
      </c>
      <c r="C181" s="71" t="s">
        <v>403</v>
      </c>
      <c r="D181" s="81">
        <v>217390</v>
      </c>
      <c r="E181" s="81">
        <v>217390</v>
      </c>
    </row>
    <row r="182" spans="2:5" ht="15">
      <c r="B182" s="89" t="s">
        <v>404</v>
      </c>
      <c r="C182" s="71" t="s">
        <v>405</v>
      </c>
      <c r="D182" s="81">
        <v>284816</v>
      </c>
      <c r="E182" s="81">
        <v>999277</v>
      </c>
    </row>
    <row r="183" spans="2:5" ht="15">
      <c r="B183" s="89" t="s">
        <v>406</v>
      </c>
      <c r="C183" s="71" t="s">
        <v>407</v>
      </c>
      <c r="D183" s="81">
        <v>0</v>
      </c>
      <c r="E183" s="81">
        <v>440212</v>
      </c>
    </row>
    <row r="184" spans="2:5" ht="15">
      <c r="B184" s="89" t="s">
        <v>408</v>
      </c>
      <c r="C184" s="71" t="s">
        <v>409</v>
      </c>
      <c r="D184" s="81">
        <v>3541.31000000006</v>
      </c>
      <c r="E184" s="81">
        <v>905833.31</v>
      </c>
    </row>
    <row r="185" spans="2:5" ht="15">
      <c r="B185" s="89" t="s">
        <v>410</v>
      </c>
      <c r="C185" s="71" t="s">
        <v>411</v>
      </c>
      <c r="D185" s="81">
        <v>730929</v>
      </c>
      <c r="E185" s="81">
        <v>0</v>
      </c>
    </row>
    <row r="186" spans="2:5" ht="15">
      <c r="B186" s="89" t="s">
        <v>412</v>
      </c>
      <c r="C186" s="71" t="s">
        <v>413</v>
      </c>
      <c r="D186" s="81">
        <v>2255701</v>
      </c>
      <c r="E186" s="81">
        <v>1512297</v>
      </c>
    </row>
    <row r="187" spans="2:5" ht="15">
      <c r="B187" s="89" t="s">
        <v>414</v>
      </c>
      <c r="C187" s="71" t="s">
        <v>415</v>
      </c>
      <c r="D187" s="81">
        <v>0</v>
      </c>
      <c r="E187" s="81">
        <v>1365</v>
      </c>
    </row>
    <row r="188" spans="4:5" ht="15.75" thickBot="1">
      <c r="D188" s="90">
        <f>SUM(D169:D187)</f>
        <v>4576816.72</v>
      </c>
      <c r="E188" s="90">
        <f>SUM(E169:E187)</f>
        <v>6795804.220000001</v>
      </c>
    </row>
    <row r="189" spans="2:4" ht="15.75" thickTop="1">
      <c r="B189" s="78" t="s">
        <v>416</v>
      </c>
      <c r="C189" s="79" t="s">
        <v>417</v>
      </c>
      <c r="D189" s="80"/>
    </row>
    <row r="190" spans="2:5" ht="15">
      <c r="B190" s="89" t="s">
        <v>418</v>
      </c>
      <c r="C190" s="71" t="s">
        <v>419</v>
      </c>
      <c r="D190" s="81">
        <v>0</v>
      </c>
      <c r="E190" s="81">
        <v>47744</v>
      </c>
    </row>
    <row r="191" spans="2:5" ht="15">
      <c r="B191" s="89" t="s">
        <v>420</v>
      </c>
      <c r="C191" s="71" t="s">
        <v>421</v>
      </c>
      <c r="D191" s="81">
        <v>27293</v>
      </c>
      <c r="E191" s="81">
        <v>59308</v>
      </c>
    </row>
    <row r="192" spans="2:5" ht="15">
      <c r="B192" s="89" t="s">
        <v>422</v>
      </c>
      <c r="C192" s="71" t="s">
        <v>423</v>
      </c>
      <c r="D192" s="81">
        <v>0</v>
      </c>
      <c r="E192" s="81">
        <v>741486</v>
      </c>
    </row>
    <row r="193" spans="2:5" ht="15">
      <c r="B193" s="89" t="s">
        <v>424</v>
      </c>
      <c r="C193" s="71" t="s">
        <v>425</v>
      </c>
      <c r="D193" s="81">
        <v>340</v>
      </c>
      <c r="E193" s="81">
        <v>0</v>
      </c>
    </row>
    <row r="194" spans="2:5" ht="15">
      <c r="B194" s="89" t="s">
        <v>426</v>
      </c>
      <c r="C194" s="71" t="s">
        <v>427</v>
      </c>
      <c r="D194" s="81">
        <v>0</v>
      </c>
      <c r="E194" s="81">
        <v>18</v>
      </c>
    </row>
    <row r="195" spans="2:5" ht="15">
      <c r="B195" s="89" t="s">
        <v>428</v>
      </c>
      <c r="C195" s="71" t="s">
        <v>429</v>
      </c>
      <c r="D195" s="81">
        <v>0</v>
      </c>
      <c r="E195" s="81">
        <v>3</v>
      </c>
    </row>
    <row r="196" spans="2:5" ht="15">
      <c r="B196" s="89" t="s">
        <v>430</v>
      </c>
      <c r="C196" s="71" t="s">
        <v>431</v>
      </c>
      <c r="D196" s="81">
        <v>285055</v>
      </c>
      <c r="E196" s="81">
        <v>1093732</v>
      </c>
    </row>
    <row r="197" spans="2:7" ht="15">
      <c r="B197" s="89" t="s">
        <v>432</v>
      </c>
      <c r="C197" s="71" t="s">
        <v>433</v>
      </c>
      <c r="D197" s="81">
        <v>1532375</v>
      </c>
      <c r="E197" s="81">
        <v>0</v>
      </c>
      <c r="G197" s="102"/>
    </row>
    <row r="198" spans="2:5" ht="15">
      <c r="B198" s="89" t="s">
        <v>434</v>
      </c>
      <c r="C198" s="71" t="s">
        <v>435</v>
      </c>
      <c r="D198" s="81">
        <v>2135857</v>
      </c>
      <c r="E198" s="81">
        <v>134512</v>
      </c>
    </row>
    <row r="199" spans="2:5" ht="15">
      <c r="B199" s="89" t="s">
        <v>436</v>
      </c>
      <c r="C199" s="71" t="s">
        <v>437</v>
      </c>
      <c r="D199" s="81">
        <v>340</v>
      </c>
      <c r="E199" s="81">
        <v>0</v>
      </c>
    </row>
    <row r="200" spans="2:5" ht="15">
      <c r="B200" s="89" t="s">
        <v>438</v>
      </c>
      <c r="C200" s="71" t="s">
        <v>439</v>
      </c>
      <c r="D200" s="81">
        <v>0</v>
      </c>
      <c r="E200" s="81">
        <v>3070</v>
      </c>
    </row>
    <row r="201" spans="2:5" ht="15">
      <c r="B201" s="89" t="s">
        <v>440</v>
      </c>
      <c r="C201" s="71" t="s">
        <v>441</v>
      </c>
      <c r="D201" s="81">
        <v>0</v>
      </c>
      <c r="E201" s="81">
        <v>1114836</v>
      </c>
    </row>
    <row r="202" spans="2:5" ht="15">
      <c r="B202" s="89" t="s">
        <v>442</v>
      </c>
      <c r="C202" s="71" t="s">
        <v>443</v>
      </c>
      <c r="D202" s="81">
        <v>0</v>
      </c>
      <c r="E202" s="81">
        <v>93190</v>
      </c>
    </row>
    <row r="203" spans="2:5" ht="15">
      <c r="B203" s="89" t="s">
        <v>444</v>
      </c>
      <c r="C203" s="71" t="s">
        <v>445</v>
      </c>
      <c r="D203" s="81">
        <v>44999</v>
      </c>
      <c r="E203" s="81">
        <v>481901</v>
      </c>
    </row>
    <row r="204" spans="2:5" ht="15">
      <c r="B204" s="89" t="s">
        <v>446</v>
      </c>
      <c r="C204" s="71" t="s">
        <v>447</v>
      </c>
      <c r="D204" s="81">
        <v>0</v>
      </c>
      <c r="E204" s="81">
        <v>519105</v>
      </c>
    </row>
    <row r="205" spans="2:5" ht="15">
      <c r="B205" s="89" t="s">
        <v>448</v>
      </c>
      <c r="C205" s="71" t="s">
        <v>449</v>
      </c>
      <c r="D205" s="81">
        <v>0</v>
      </c>
      <c r="E205" s="81">
        <v>1189161</v>
      </c>
    </row>
    <row r="206" spans="2:5" ht="15">
      <c r="B206" s="89" t="s">
        <v>450</v>
      </c>
      <c r="C206" s="71" t="s">
        <v>451</v>
      </c>
      <c r="D206" s="81">
        <v>563544</v>
      </c>
      <c r="E206" s="81">
        <v>0</v>
      </c>
    </row>
    <row r="207" spans="2:5" ht="15">
      <c r="B207" s="89" t="s">
        <v>452</v>
      </c>
      <c r="C207" s="71" t="s">
        <v>453</v>
      </c>
      <c r="D207" s="81">
        <v>0</v>
      </c>
      <c r="E207" s="81">
        <v>523310.5</v>
      </c>
    </row>
    <row r="208" spans="2:5" ht="15">
      <c r="B208" s="89" t="s">
        <v>454</v>
      </c>
      <c r="C208" s="71" t="s">
        <v>455</v>
      </c>
      <c r="D208" s="81">
        <v>0</v>
      </c>
      <c r="E208" s="81">
        <v>505104</v>
      </c>
    </row>
    <row r="209" spans="2:5" ht="15">
      <c r="B209" s="89" t="s">
        <v>456</v>
      </c>
      <c r="C209" s="71" t="s">
        <v>457</v>
      </c>
      <c r="D209" s="81">
        <v>0</v>
      </c>
      <c r="E209" s="81">
        <v>29</v>
      </c>
    </row>
    <row r="210" spans="2:5" ht="15">
      <c r="B210" s="89" t="s">
        <v>458</v>
      </c>
      <c r="C210" s="71" t="s">
        <v>459</v>
      </c>
      <c r="D210" s="81">
        <v>6000</v>
      </c>
      <c r="E210" s="81">
        <v>0</v>
      </c>
    </row>
    <row r="211" spans="2:5" ht="15">
      <c r="B211" s="89" t="s">
        <v>460</v>
      </c>
      <c r="C211" s="71" t="s">
        <v>461</v>
      </c>
      <c r="D211" s="81">
        <v>163953</v>
      </c>
      <c r="E211" s="81">
        <v>0</v>
      </c>
    </row>
    <row r="212" spans="2:5" ht="15">
      <c r="B212" s="89" t="s">
        <v>462</v>
      </c>
      <c r="C212" s="71" t="s">
        <v>463</v>
      </c>
      <c r="D212" s="81">
        <v>90000</v>
      </c>
      <c r="E212" s="81">
        <v>90000</v>
      </c>
    </row>
    <row r="213" spans="2:5" ht="15">
      <c r="B213" s="89" t="s">
        <v>464</v>
      </c>
      <c r="C213" s="71" t="s">
        <v>465</v>
      </c>
      <c r="D213" s="81">
        <v>0</v>
      </c>
      <c r="E213" s="81">
        <v>35092</v>
      </c>
    </row>
    <row r="214" spans="2:5" ht="15">
      <c r="B214" s="89" t="s">
        <v>466</v>
      </c>
      <c r="C214" s="71" t="s">
        <v>467</v>
      </c>
      <c r="D214" s="81">
        <v>1300295</v>
      </c>
      <c r="E214" s="81">
        <v>1661673</v>
      </c>
    </row>
    <row r="215" spans="2:5" ht="15">
      <c r="B215" s="89" t="s">
        <v>468</v>
      </c>
      <c r="C215" s="71" t="s">
        <v>469</v>
      </c>
      <c r="D215" s="81">
        <v>0</v>
      </c>
      <c r="E215" s="81">
        <v>221389</v>
      </c>
    </row>
    <row r="216" spans="2:5" ht="15">
      <c r="B216" s="89" t="s">
        <v>470</v>
      </c>
      <c r="C216" s="71" t="s">
        <v>471</v>
      </c>
      <c r="D216" s="81">
        <v>0</v>
      </c>
      <c r="E216" s="81">
        <v>159560</v>
      </c>
    </row>
    <row r="217" spans="2:5" ht="15">
      <c r="B217" s="89" t="s">
        <v>472</v>
      </c>
      <c r="C217" s="71" t="s">
        <v>473</v>
      </c>
      <c r="D217" s="81">
        <v>0</v>
      </c>
      <c r="E217" s="81">
        <v>262297</v>
      </c>
    </row>
    <row r="218" spans="2:5" ht="15">
      <c r="B218" s="89" t="s">
        <v>474</v>
      </c>
      <c r="C218" s="71" t="s">
        <v>475</v>
      </c>
      <c r="D218" s="81">
        <v>18370</v>
      </c>
      <c r="E218" s="81">
        <v>0</v>
      </c>
    </row>
    <row r="219" spans="2:5" ht="15">
      <c r="B219" s="89" t="s">
        <v>476</v>
      </c>
      <c r="C219" s="71" t="s">
        <v>477</v>
      </c>
      <c r="D219" s="81">
        <v>0</v>
      </c>
      <c r="E219" s="81">
        <v>74787</v>
      </c>
    </row>
    <row r="220" spans="2:5" ht="15">
      <c r="B220" s="89" t="s">
        <v>478</v>
      </c>
      <c r="C220" s="71" t="s">
        <v>479</v>
      </c>
      <c r="D220" s="81">
        <v>0</v>
      </c>
      <c r="E220" s="81">
        <v>831559</v>
      </c>
    </row>
    <row r="221" spans="2:5" ht="15">
      <c r="B221" s="89" t="s">
        <v>480</v>
      </c>
      <c r="C221" s="71" t="s">
        <v>481</v>
      </c>
      <c r="D221" s="81">
        <v>0</v>
      </c>
      <c r="E221" s="81">
        <v>79117</v>
      </c>
    </row>
    <row r="222" spans="2:5" ht="15">
      <c r="B222" s="89" t="s">
        <v>482</v>
      </c>
      <c r="C222" s="71" t="s">
        <v>483</v>
      </c>
      <c r="D222" s="81">
        <v>2999</v>
      </c>
      <c r="E222" s="81">
        <v>0</v>
      </c>
    </row>
    <row r="223" spans="2:5" ht="15">
      <c r="B223" s="89" t="s">
        <v>484</v>
      </c>
      <c r="C223" s="71" t="s">
        <v>483</v>
      </c>
      <c r="D223" s="81">
        <v>148096.81</v>
      </c>
      <c r="E223" s="81">
        <v>0</v>
      </c>
    </row>
    <row r="224" spans="2:5" ht="15">
      <c r="B224" s="89" t="s">
        <v>485</v>
      </c>
      <c r="C224" s="71" t="s">
        <v>486</v>
      </c>
      <c r="D224" s="81">
        <v>360026</v>
      </c>
      <c r="E224" s="81">
        <v>0</v>
      </c>
    </row>
    <row r="225" spans="2:5" ht="15">
      <c r="B225" s="89" t="s">
        <v>487</v>
      </c>
      <c r="C225" s="71" t="s">
        <v>488</v>
      </c>
      <c r="D225" s="81">
        <v>994</v>
      </c>
      <c r="E225" s="81">
        <v>0</v>
      </c>
    </row>
    <row r="226" spans="2:5" ht="15">
      <c r="B226" s="89" t="s">
        <v>489</v>
      </c>
      <c r="C226" s="71" t="s">
        <v>490</v>
      </c>
      <c r="D226" s="81">
        <v>0</v>
      </c>
      <c r="E226" s="81">
        <v>27</v>
      </c>
    </row>
    <row r="227" spans="2:5" ht="15">
      <c r="B227" s="99" t="s">
        <v>491</v>
      </c>
      <c r="C227" s="94" t="s">
        <v>492</v>
      </c>
      <c r="D227" s="81">
        <v>205650</v>
      </c>
      <c r="E227" s="81">
        <v>0</v>
      </c>
    </row>
    <row r="228" spans="2:5" ht="15">
      <c r="B228" s="89" t="s">
        <v>493</v>
      </c>
      <c r="C228" s="71" t="s">
        <v>494</v>
      </c>
      <c r="D228" s="81">
        <v>149034</v>
      </c>
      <c r="E228" s="81">
        <v>0</v>
      </c>
    </row>
    <row r="229" spans="2:8" s="112" customFormat="1" ht="15">
      <c r="B229" s="89" t="s">
        <v>495</v>
      </c>
      <c r="C229" s="71" t="s">
        <v>496</v>
      </c>
      <c r="D229" s="81">
        <v>134141</v>
      </c>
      <c r="E229" s="81">
        <v>0</v>
      </c>
      <c r="F229" s="71"/>
      <c r="G229" s="71"/>
      <c r="H229" s="71"/>
    </row>
    <row r="230" spans="2:5" ht="15">
      <c r="B230" s="89" t="s">
        <v>497</v>
      </c>
      <c r="C230" s="71" t="s">
        <v>498</v>
      </c>
      <c r="D230" s="81">
        <v>131014</v>
      </c>
      <c r="E230" s="81">
        <v>0</v>
      </c>
    </row>
    <row r="231" spans="2:5" ht="15">
      <c r="B231" s="89" t="s">
        <v>499</v>
      </c>
      <c r="C231" s="71" t="s">
        <v>500</v>
      </c>
      <c r="D231" s="81">
        <v>113134</v>
      </c>
      <c r="E231" s="81">
        <v>0</v>
      </c>
    </row>
    <row r="232" spans="2:5" ht="15">
      <c r="B232" s="89" t="s">
        <v>501</v>
      </c>
      <c r="C232" s="71" t="s">
        <v>502</v>
      </c>
      <c r="D232" s="81">
        <v>143652</v>
      </c>
      <c r="E232" s="81">
        <v>0</v>
      </c>
    </row>
    <row r="233" spans="2:5" ht="15">
      <c r="B233" s="89" t="s">
        <v>503</v>
      </c>
      <c r="C233" s="71" t="s">
        <v>504</v>
      </c>
      <c r="D233" s="81">
        <v>224838</v>
      </c>
      <c r="E233" s="81">
        <v>0</v>
      </c>
    </row>
    <row r="234" spans="2:5" ht="15">
      <c r="B234" s="89" t="s">
        <v>505</v>
      </c>
      <c r="C234" s="71" t="s">
        <v>506</v>
      </c>
      <c r="D234" s="81">
        <v>149034</v>
      </c>
      <c r="E234" s="81">
        <v>0</v>
      </c>
    </row>
    <row r="235" spans="2:5" ht="15">
      <c r="B235" s="89" t="s">
        <v>507</v>
      </c>
      <c r="C235" s="71" t="s">
        <v>508</v>
      </c>
      <c r="D235" s="81">
        <v>130533</v>
      </c>
      <c r="E235" s="81">
        <v>0</v>
      </c>
    </row>
    <row r="236" spans="2:5" ht="15">
      <c r="B236" s="89" t="s">
        <v>509</v>
      </c>
      <c r="C236" s="71" t="s">
        <v>510</v>
      </c>
      <c r="D236" s="81">
        <v>77421</v>
      </c>
      <c r="E236" s="81">
        <v>0</v>
      </c>
    </row>
    <row r="237" spans="2:5" ht="15">
      <c r="B237" s="89" t="s">
        <v>511</v>
      </c>
      <c r="C237" s="71" t="s">
        <v>512</v>
      </c>
      <c r="D237" s="81">
        <v>113824</v>
      </c>
      <c r="E237" s="81">
        <v>0</v>
      </c>
    </row>
    <row r="238" spans="2:5" ht="15">
      <c r="B238" s="89" t="s">
        <v>513</v>
      </c>
      <c r="C238" s="71" t="s">
        <v>514</v>
      </c>
      <c r="D238" s="81">
        <v>211240</v>
      </c>
      <c r="E238" s="81">
        <v>0</v>
      </c>
    </row>
    <row r="239" spans="2:5" ht="15">
      <c r="B239" s="89" t="s">
        <v>515</v>
      </c>
      <c r="C239" s="71" t="s">
        <v>516</v>
      </c>
      <c r="D239" s="81">
        <v>130034</v>
      </c>
      <c r="E239" s="81">
        <v>0</v>
      </c>
    </row>
    <row r="240" spans="2:5" ht="15">
      <c r="B240" s="89" t="s">
        <v>517</v>
      </c>
      <c r="C240" s="71" t="s">
        <v>518</v>
      </c>
      <c r="D240" s="81">
        <v>129534</v>
      </c>
      <c r="E240" s="81">
        <v>0</v>
      </c>
    </row>
    <row r="241" spans="2:5" ht="15">
      <c r="B241" s="89" t="s">
        <v>519</v>
      </c>
      <c r="C241" s="71" t="s">
        <v>520</v>
      </c>
      <c r="D241" s="81">
        <v>86351</v>
      </c>
      <c r="E241" s="81">
        <v>0</v>
      </c>
    </row>
    <row r="242" spans="2:5" ht="15">
      <c r="B242" s="89" t="s">
        <v>521</v>
      </c>
      <c r="C242" s="71" t="s">
        <v>522</v>
      </c>
      <c r="D242" s="81">
        <v>221258</v>
      </c>
      <c r="E242" s="81">
        <v>0</v>
      </c>
    </row>
    <row r="243" spans="2:5" ht="15">
      <c r="B243" s="89" t="s">
        <v>523</v>
      </c>
      <c r="C243" s="71" t="s">
        <v>524</v>
      </c>
      <c r="D243" s="81">
        <v>103628</v>
      </c>
      <c r="E243" s="81">
        <v>0</v>
      </c>
    </row>
    <row r="244" spans="2:5" ht="15">
      <c r="B244" s="89" t="s">
        <v>525</v>
      </c>
      <c r="C244" s="71" t="s">
        <v>526</v>
      </c>
      <c r="D244" s="81">
        <v>130928</v>
      </c>
      <c r="E244" s="81">
        <v>0</v>
      </c>
    </row>
    <row r="245" spans="2:5" ht="15">
      <c r="B245" s="89" t="s">
        <v>527</v>
      </c>
      <c r="C245" s="71" t="s">
        <v>528</v>
      </c>
      <c r="D245" s="81">
        <v>150037</v>
      </c>
      <c r="E245" s="81">
        <v>0</v>
      </c>
    </row>
    <row r="246" spans="2:5" ht="15">
      <c r="B246" s="89" t="s">
        <v>529</v>
      </c>
      <c r="C246" s="71" t="s">
        <v>530</v>
      </c>
      <c r="D246" s="81">
        <v>120030</v>
      </c>
      <c r="E246" s="81">
        <v>0</v>
      </c>
    </row>
    <row r="247" spans="2:5" ht="15">
      <c r="B247" s="89" t="s">
        <v>531</v>
      </c>
      <c r="C247" s="71" t="s">
        <v>532</v>
      </c>
      <c r="D247" s="81">
        <v>203258</v>
      </c>
      <c r="E247" s="81">
        <v>0</v>
      </c>
    </row>
    <row r="248" spans="2:5" ht="15">
      <c r="B248" s="89" t="s">
        <v>533</v>
      </c>
      <c r="C248" s="71" t="s">
        <v>534</v>
      </c>
      <c r="D248" s="81">
        <v>90622</v>
      </c>
      <c r="E248" s="81">
        <v>0</v>
      </c>
    </row>
    <row r="250" spans="4:5" ht="15.75" thickBot="1">
      <c r="D250" s="90">
        <f>SUM(D190:D249)</f>
        <v>9829731.809999999</v>
      </c>
      <c r="E250" s="90">
        <f>SUM(E190:E249)</f>
        <v>9922010.5</v>
      </c>
    </row>
    <row r="251" spans="3:5" ht="15.75" thickTop="1">
      <c r="C251" s="71" t="s">
        <v>535</v>
      </c>
      <c r="E251" s="103">
        <v>9922011</v>
      </c>
    </row>
    <row r="252" spans="3:5" ht="15">
      <c r="C252" s="71" t="s">
        <v>536</v>
      </c>
      <c r="D252" s="104"/>
      <c r="E252" s="103">
        <f>E250-(E251+E253)</f>
        <v>-873146</v>
      </c>
    </row>
    <row r="253" spans="3:5" ht="15">
      <c r="C253" s="71" t="s">
        <v>537</v>
      </c>
      <c r="E253" s="103">
        <v>873145.5</v>
      </c>
    </row>
    <row r="254" spans="4:5" ht="15.75" thickBot="1">
      <c r="D254" s="105">
        <f>+D252+D251+D253</f>
        <v>0</v>
      </c>
      <c r="E254" s="105">
        <f>+E252+E251+E253</f>
        <v>9922010.5</v>
      </c>
    </row>
    <row r="255" ht="15.75" thickTop="1">
      <c r="C255" s="107"/>
    </row>
    <row r="256" spans="2:7" ht="15.75">
      <c r="B256" s="76">
        <v>10</v>
      </c>
      <c r="C256" s="77" t="s">
        <v>538</v>
      </c>
      <c r="D256" s="91"/>
      <c r="G256" s="106"/>
    </row>
    <row r="257" spans="2:7" ht="15">
      <c r="B257" s="78" t="s">
        <v>539</v>
      </c>
      <c r="C257" s="79" t="s">
        <v>540</v>
      </c>
      <c r="D257" s="80"/>
      <c r="G257" s="106"/>
    </row>
    <row r="258" spans="2:7" ht="15">
      <c r="B258" s="92"/>
      <c r="C258" s="93"/>
      <c r="D258" s="80"/>
      <c r="G258" s="106"/>
    </row>
    <row r="259" spans="2:5" ht="15">
      <c r="B259" s="89">
        <v>10001001</v>
      </c>
      <c r="C259" s="71" t="s">
        <v>540</v>
      </c>
      <c r="D259" s="88">
        <v>131240.58</v>
      </c>
      <c r="E259" s="81">
        <v>175866.47</v>
      </c>
    </row>
    <row r="260" spans="2:5" ht="15">
      <c r="B260" s="89">
        <v>10001003</v>
      </c>
      <c r="C260" s="71" t="s">
        <v>541</v>
      </c>
      <c r="D260" s="81">
        <v>1500</v>
      </c>
      <c r="E260" s="81">
        <v>1500</v>
      </c>
    </row>
    <row r="261" spans="2:5" ht="15">
      <c r="B261" s="89">
        <v>10001004</v>
      </c>
      <c r="C261" s="71" t="s">
        <v>542</v>
      </c>
      <c r="D261" s="81">
        <v>0</v>
      </c>
      <c r="E261" s="81">
        <v>3347</v>
      </c>
    </row>
    <row r="262" spans="4:5" ht="15.75" thickBot="1">
      <c r="D262" s="90">
        <f>SUM(D259:D261)</f>
        <v>132740.58</v>
      </c>
      <c r="E262" s="90">
        <f>SUM(E259:E261)</f>
        <v>180713.47</v>
      </c>
    </row>
    <row r="263" ht="15.75" thickTop="1"/>
    <row r="264" spans="2:4" ht="15">
      <c r="B264" s="78" t="s">
        <v>543</v>
      </c>
      <c r="C264" s="79" t="s">
        <v>544</v>
      </c>
      <c r="D264" s="80"/>
    </row>
    <row r="265" spans="2:4" ht="15">
      <c r="B265" s="92"/>
      <c r="C265" s="93"/>
      <c r="D265" s="80"/>
    </row>
    <row r="266" spans="2:4" ht="15">
      <c r="B266" s="108" t="s">
        <v>545</v>
      </c>
      <c r="D266" s="80"/>
    </row>
    <row r="267" spans="2:4" ht="15">
      <c r="B267" s="92"/>
      <c r="C267" s="93"/>
      <c r="D267" s="80"/>
    </row>
    <row r="268" spans="2:5" ht="15">
      <c r="B268" s="89">
        <v>10011001</v>
      </c>
      <c r="C268" s="71" t="s">
        <v>546</v>
      </c>
      <c r="D268" s="81">
        <v>28364.48</v>
      </c>
      <c r="E268" s="81">
        <v>28364.48</v>
      </c>
    </row>
    <row r="269" spans="2:5" ht="15">
      <c r="B269" s="89">
        <v>10011002</v>
      </c>
      <c r="C269" s="71" t="s">
        <v>547</v>
      </c>
      <c r="D269" s="81">
        <v>1576382.16</v>
      </c>
      <c r="E269" s="81">
        <v>0</v>
      </c>
    </row>
    <row r="270" spans="2:5" ht="15">
      <c r="B270" s="89">
        <v>10011006</v>
      </c>
      <c r="C270" s="71" t="s">
        <v>548</v>
      </c>
      <c r="D270" s="81">
        <v>10257.56</v>
      </c>
      <c r="E270" s="81">
        <v>10257.56</v>
      </c>
    </row>
    <row r="271" spans="2:8" ht="15">
      <c r="B271" s="89">
        <v>10011007</v>
      </c>
      <c r="C271" s="71" t="s">
        <v>549</v>
      </c>
      <c r="D271" s="81">
        <v>13182.59</v>
      </c>
      <c r="E271" s="81">
        <v>13182.59</v>
      </c>
      <c r="F271" s="112"/>
      <c r="G271" s="506"/>
      <c r="H271" s="506"/>
    </row>
    <row r="272" spans="2:8" ht="15">
      <c r="B272" s="89">
        <v>10011016</v>
      </c>
      <c r="C272" s="71" t="s">
        <v>550</v>
      </c>
      <c r="D272" s="81">
        <v>0</v>
      </c>
      <c r="E272" s="81">
        <v>11125</v>
      </c>
      <c r="F272" s="112"/>
      <c r="G272" s="506"/>
      <c r="H272" s="506"/>
    </row>
    <row r="273" spans="2:8" ht="15">
      <c r="B273" s="89">
        <v>10011017</v>
      </c>
      <c r="C273" s="71" t="s">
        <v>551</v>
      </c>
      <c r="D273" s="81">
        <v>0</v>
      </c>
      <c r="E273" s="81">
        <v>1989.42</v>
      </c>
      <c r="F273" s="112"/>
      <c r="G273" s="506"/>
      <c r="H273" s="506"/>
    </row>
    <row r="274" spans="2:8" ht="15">
      <c r="B274" s="89">
        <v>10011018</v>
      </c>
      <c r="C274" s="71" t="s">
        <v>552</v>
      </c>
      <c r="D274" s="81">
        <v>11615.13</v>
      </c>
      <c r="E274" s="81">
        <v>0</v>
      </c>
      <c r="F274" s="112"/>
      <c r="G274" s="112"/>
      <c r="H274" s="112"/>
    </row>
    <row r="275" spans="2:8" ht="15">
      <c r="B275" s="89">
        <v>10011020</v>
      </c>
      <c r="C275" s="71" t="s">
        <v>553</v>
      </c>
      <c r="D275" s="81">
        <v>11871.1</v>
      </c>
      <c r="E275" s="81">
        <v>12082.1</v>
      </c>
      <c r="F275" s="112"/>
      <c r="G275" s="112"/>
      <c r="H275" s="112"/>
    </row>
    <row r="276" spans="2:8" ht="15">
      <c r="B276" s="89">
        <v>10011024</v>
      </c>
      <c r="C276" s="71" t="s">
        <v>554</v>
      </c>
      <c r="D276" s="81">
        <v>133530.96</v>
      </c>
      <c r="E276" s="81">
        <v>0</v>
      </c>
      <c r="F276" s="112"/>
      <c r="G276" s="112"/>
      <c r="H276" s="112"/>
    </row>
    <row r="277" spans="2:8" ht="15">
      <c r="B277" s="89">
        <v>10011025</v>
      </c>
      <c r="C277" s="71" t="s">
        <v>555</v>
      </c>
      <c r="D277" s="81">
        <v>26534.56</v>
      </c>
      <c r="E277" s="81">
        <v>71071.56</v>
      </c>
      <c r="F277" s="106"/>
      <c r="G277" s="112"/>
      <c r="H277" s="112"/>
    </row>
    <row r="278" spans="2:8" ht="15">
      <c r="B278" s="89">
        <v>10011026</v>
      </c>
      <c r="C278" s="71" t="s">
        <v>556</v>
      </c>
      <c r="D278" s="81">
        <v>53199.21</v>
      </c>
      <c r="E278" s="81">
        <v>0</v>
      </c>
      <c r="F278" s="112"/>
      <c r="G278" s="112"/>
      <c r="H278" s="112"/>
    </row>
    <row r="279" spans="2:5" ht="15">
      <c r="B279" s="89">
        <v>10011027</v>
      </c>
      <c r="C279" s="71" t="s">
        <v>557</v>
      </c>
      <c r="D279" s="81">
        <v>25261</v>
      </c>
      <c r="E279" s="81">
        <v>25261</v>
      </c>
    </row>
    <row r="280" spans="4:5" ht="15">
      <c r="D280" s="100">
        <f>SUM(D268:D279)</f>
        <v>1890198.75</v>
      </c>
      <c r="E280" s="100">
        <f>SUM(E268:E279)</f>
        <v>173333.71000000002</v>
      </c>
    </row>
    <row r="281" ht="15">
      <c r="B281" s="109" t="s">
        <v>558</v>
      </c>
    </row>
    <row r="283" spans="2:6" ht="15">
      <c r="B283" s="89">
        <v>10011051</v>
      </c>
      <c r="C283" s="71" t="s">
        <v>559</v>
      </c>
      <c r="D283" s="81">
        <v>6039310</v>
      </c>
      <c r="E283" s="81">
        <v>5539310</v>
      </c>
      <c r="F283" s="166">
        <f>327827+E284</f>
        <v>5867137</v>
      </c>
    </row>
    <row r="284" spans="4:6" ht="15">
      <c r="D284" s="100">
        <f>SUM(D283:D283)</f>
        <v>6039310</v>
      </c>
      <c r="E284" s="100">
        <f>SUM(E283:E283)</f>
        <v>5539310</v>
      </c>
      <c r="F284" s="166">
        <f>+F283-5866597</f>
        <v>540</v>
      </c>
    </row>
    <row r="286" spans="2:4" ht="15">
      <c r="B286" s="78" t="s">
        <v>560</v>
      </c>
      <c r="C286" s="79" t="s">
        <v>561</v>
      </c>
      <c r="D286" s="80"/>
    </row>
    <row r="287" spans="2:5" ht="15.75" thickBot="1">
      <c r="B287" s="89">
        <v>10006001</v>
      </c>
      <c r="C287" s="71" t="s">
        <v>562</v>
      </c>
      <c r="D287" s="90">
        <v>1329</v>
      </c>
      <c r="E287" s="90">
        <v>486</v>
      </c>
    </row>
    <row r="288" spans="2:5" ht="15.75" thickTop="1">
      <c r="B288" s="114"/>
      <c r="D288" s="110"/>
      <c r="E288" s="110"/>
    </row>
    <row r="289" spans="2:5" ht="15">
      <c r="B289" s="507" t="s">
        <v>569</v>
      </c>
      <c r="C289" s="507"/>
      <c r="D289" s="110"/>
      <c r="E289" s="110"/>
    </row>
    <row r="290" spans="2:4" ht="15">
      <c r="B290" s="78" t="s">
        <v>597</v>
      </c>
      <c r="C290" s="79" t="s">
        <v>1664</v>
      </c>
      <c r="D290" s="80"/>
    </row>
    <row r="291" spans="2:5" ht="15">
      <c r="B291" s="89">
        <v>13006004</v>
      </c>
      <c r="C291" s="71" t="s">
        <v>598</v>
      </c>
      <c r="D291" s="81">
        <v>0</v>
      </c>
      <c r="E291" s="81">
        <v>4333</v>
      </c>
    </row>
    <row r="292" spans="2:5" ht="15">
      <c r="B292" s="89">
        <v>13006116</v>
      </c>
      <c r="C292" s="71" t="s">
        <v>599</v>
      </c>
      <c r="D292" s="81">
        <v>62952</v>
      </c>
      <c r="E292" s="81">
        <v>37626</v>
      </c>
    </row>
    <row r="293" spans="2:5" ht="15">
      <c r="B293" s="89">
        <v>13006223</v>
      </c>
      <c r="C293" s="71" t="s">
        <v>601</v>
      </c>
      <c r="D293" s="81">
        <v>0</v>
      </c>
      <c r="E293" s="81">
        <v>108032</v>
      </c>
    </row>
    <row r="294" spans="2:5" ht="15">
      <c r="B294" s="89">
        <v>13011087</v>
      </c>
      <c r="C294" s="71" t="s">
        <v>602</v>
      </c>
      <c r="D294" s="81">
        <v>49633</v>
      </c>
      <c r="E294" s="81">
        <v>46551</v>
      </c>
    </row>
    <row r="295" spans="2:5" ht="15">
      <c r="B295" s="89" t="s">
        <v>603</v>
      </c>
      <c r="C295" s="71" t="s">
        <v>604</v>
      </c>
      <c r="D295" s="81">
        <v>339116</v>
      </c>
      <c r="E295" s="81">
        <v>339116</v>
      </c>
    </row>
    <row r="296" spans="2:5" ht="15">
      <c r="B296" s="89" t="s">
        <v>605</v>
      </c>
      <c r="C296" s="71" t="s">
        <v>606</v>
      </c>
      <c r="D296" s="81">
        <v>688</v>
      </c>
      <c r="E296" s="81">
        <v>688</v>
      </c>
    </row>
    <row r="297" spans="2:5" ht="15">
      <c r="B297" s="89" t="s">
        <v>607</v>
      </c>
      <c r="C297" s="71" t="s">
        <v>608</v>
      </c>
      <c r="D297" s="81">
        <v>8601</v>
      </c>
      <c r="E297" s="81">
        <v>8601</v>
      </c>
    </row>
    <row r="298" spans="2:5" ht="15">
      <c r="B298" s="89" t="s">
        <v>609</v>
      </c>
      <c r="C298" s="71" t="s">
        <v>610</v>
      </c>
      <c r="D298" s="81">
        <v>35588</v>
      </c>
      <c r="E298" s="81">
        <v>35588</v>
      </c>
    </row>
    <row r="299" spans="2:5" ht="15">
      <c r="B299" s="89" t="s">
        <v>611</v>
      </c>
      <c r="C299" s="71" t="s">
        <v>612</v>
      </c>
      <c r="D299" s="81">
        <v>109124</v>
      </c>
      <c r="E299" s="81">
        <v>109124</v>
      </c>
    </row>
    <row r="300" spans="2:5" ht="15">
      <c r="B300" s="89" t="s">
        <v>613</v>
      </c>
      <c r="C300" s="71" t="s">
        <v>614</v>
      </c>
      <c r="D300" s="81">
        <v>1778864</v>
      </c>
      <c r="E300" s="81">
        <v>80630</v>
      </c>
    </row>
    <row r="301" spans="2:5" ht="15">
      <c r="B301" s="89" t="s">
        <v>615</v>
      </c>
      <c r="C301" s="71" t="s">
        <v>616</v>
      </c>
      <c r="D301" s="81">
        <v>1049930.68</v>
      </c>
      <c r="E301" s="81">
        <v>1049930.68</v>
      </c>
    </row>
    <row r="302" spans="2:5" ht="15">
      <c r="B302" s="89" t="s">
        <v>617</v>
      </c>
      <c r="C302" s="111" t="s">
        <v>618</v>
      </c>
      <c r="D302" s="81">
        <f>16744-12276</f>
        <v>4468</v>
      </c>
      <c r="E302" s="81">
        <v>0</v>
      </c>
    </row>
    <row r="303" spans="2:8" ht="15">
      <c r="B303" s="89" t="s">
        <v>619</v>
      </c>
      <c r="C303" s="71" t="s">
        <v>620</v>
      </c>
      <c r="D303" s="81">
        <v>0</v>
      </c>
      <c r="E303" s="81">
        <v>138637</v>
      </c>
      <c r="G303" s="92"/>
      <c r="H303" s="93"/>
    </row>
    <row r="304" spans="2:8" ht="15">
      <c r="B304" s="89" t="s">
        <v>621</v>
      </c>
      <c r="C304" s="71" t="s">
        <v>622</v>
      </c>
      <c r="D304" s="81">
        <v>7784</v>
      </c>
      <c r="E304" s="81">
        <v>7784</v>
      </c>
      <c r="G304" s="92"/>
      <c r="H304" s="93"/>
    </row>
    <row r="305" spans="2:5" ht="15">
      <c r="B305" s="89" t="s">
        <v>623</v>
      </c>
      <c r="C305" s="71" t="s">
        <v>614</v>
      </c>
      <c r="D305" s="81">
        <v>0</v>
      </c>
      <c r="E305" s="81">
        <v>37500</v>
      </c>
    </row>
    <row r="306" spans="2:5" ht="15">
      <c r="B306" s="89" t="s">
        <v>624</v>
      </c>
      <c r="C306" s="71" t="s">
        <v>625</v>
      </c>
      <c r="D306" s="81">
        <v>0</v>
      </c>
      <c r="E306" s="81">
        <v>4658</v>
      </c>
    </row>
    <row r="307" spans="2:5" ht="15">
      <c r="B307" s="89" t="s">
        <v>626</v>
      </c>
      <c r="C307" s="71" t="s">
        <v>627</v>
      </c>
      <c r="D307" s="81">
        <v>0</v>
      </c>
      <c r="E307" s="81">
        <v>3.59</v>
      </c>
    </row>
    <row r="308" spans="2:5" ht="15">
      <c r="B308" s="89" t="s">
        <v>628</v>
      </c>
      <c r="C308" s="111" t="s">
        <v>629</v>
      </c>
      <c r="D308" s="81">
        <v>22000</v>
      </c>
      <c r="E308" s="81">
        <v>0</v>
      </c>
    </row>
    <row r="309" spans="2:6" ht="15">
      <c r="B309" s="89" t="s">
        <v>630</v>
      </c>
      <c r="C309" s="71" t="s">
        <v>631</v>
      </c>
      <c r="D309" s="81">
        <v>92529</v>
      </c>
      <c r="E309" s="81">
        <v>92529</v>
      </c>
      <c r="F309" s="112"/>
    </row>
    <row r="310" spans="2:6" ht="15">
      <c r="B310" s="89" t="s">
        <v>632</v>
      </c>
      <c r="C310" s="111" t="s">
        <v>633</v>
      </c>
      <c r="D310" s="81">
        <v>1249396</v>
      </c>
      <c r="E310" s="81">
        <v>0</v>
      </c>
      <c r="F310" s="96"/>
    </row>
    <row r="311" spans="2:5" ht="15">
      <c r="B311" s="89" t="s">
        <v>634</v>
      </c>
      <c r="C311" s="71" t="s">
        <v>635</v>
      </c>
      <c r="D311" s="81">
        <v>0</v>
      </c>
      <c r="E311" s="81">
        <v>1771162</v>
      </c>
    </row>
    <row r="312" spans="2:5" ht="15">
      <c r="B312" s="89" t="s">
        <v>636</v>
      </c>
      <c r="C312" s="71" t="s">
        <v>637</v>
      </c>
      <c r="D312" s="81">
        <v>792365</v>
      </c>
      <c r="E312" s="81">
        <v>792365</v>
      </c>
    </row>
    <row r="313" spans="2:5" ht="15">
      <c r="B313" s="89" t="s">
        <v>638</v>
      </c>
      <c r="C313" s="71" t="s">
        <v>639</v>
      </c>
      <c r="D313" s="81">
        <v>0</v>
      </c>
      <c r="E313" s="81">
        <v>1000</v>
      </c>
    </row>
    <row r="314" spans="2:5" ht="15">
      <c r="B314" s="89" t="s">
        <v>640</v>
      </c>
      <c r="C314" s="71" t="s">
        <v>641</v>
      </c>
      <c r="D314" s="81">
        <v>14718</v>
      </c>
      <c r="E314" s="81">
        <v>14718</v>
      </c>
    </row>
    <row r="315" spans="2:8" ht="15">
      <c r="B315" s="89" t="s">
        <v>642</v>
      </c>
      <c r="C315" s="111" t="s">
        <v>643</v>
      </c>
      <c r="D315" s="81">
        <v>4198039</v>
      </c>
      <c r="E315" s="81">
        <v>0</v>
      </c>
      <c r="G315" s="92"/>
      <c r="H315" s="93"/>
    </row>
    <row r="316" spans="2:8" ht="15">
      <c r="B316" s="89" t="s">
        <v>644</v>
      </c>
      <c r="C316" s="71" t="s">
        <v>645</v>
      </c>
      <c r="D316" s="81">
        <v>0</v>
      </c>
      <c r="E316" s="81">
        <v>1928</v>
      </c>
      <c r="G316" s="92"/>
      <c r="H316" s="93"/>
    </row>
    <row r="317" spans="2:5" ht="15">
      <c r="B317" s="89" t="s">
        <v>646</v>
      </c>
      <c r="C317" s="71" t="s">
        <v>647</v>
      </c>
      <c r="D317" s="81">
        <v>34098.07</v>
      </c>
      <c r="E317" s="81">
        <v>55771.07</v>
      </c>
    </row>
    <row r="318" spans="2:5" ht="15">
      <c r="B318" s="89" t="s">
        <v>648</v>
      </c>
      <c r="C318" s="111" t="s">
        <v>649</v>
      </c>
      <c r="D318" s="81">
        <v>1028414</v>
      </c>
      <c r="E318" s="81">
        <v>0</v>
      </c>
    </row>
    <row r="319" spans="2:5" ht="15">
      <c r="B319" s="89" t="s">
        <v>650</v>
      </c>
      <c r="C319" s="71" t="s">
        <v>651</v>
      </c>
      <c r="D319" s="81">
        <v>0</v>
      </c>
      <c r="E319" s="81">
        <v>297</v>
      </c>
    </row>
    <row r="320" spans="1:5" ht="15">
      <c r="A320" s="159"/>
      <c r="B320" s="160" t="s">
        <v>652</v>
      </c>
      <c r="C320" s="159" t="s">
        <v>653</v>
      </c>
      <c r="D320" s="161">
        <f>23820213-23381806</f>
        <v>438407</v>
      </c>
      <c r="E320" s="81">
        <v>2361488</v>
      </c>
    </row>
    <row r="321" spans="2:5" ht="15">
      <c r="B321" s="89" t="s">
        <v>654</v>
      </c>
      <c r="C321" s="71" t="s">
        <v>655</v>
      </c>
      <c r="D321" s="81">
        <v>705</v>
      </c>
      <c r="E321" s="81">
        <v>705</v>
      </c>
    </row>
    <row r="322" spans="2:5" ht="15">
      <c r="B322" s="89" t="s">
        <v>658</v>
      </c>
      <c r="C322" s="111" t="s">
        <v>659</v>
      </c>
      <c r="D322" s="81">
        <v>588380</v>
      </c>
      <c r="E322" s="81">
        <v>0</v>
      </c>
    </row>
    <row r="323" spans="2:5" ht="15">
      <c r="B323" s="89" t="s">
        <v>660</v>
      </c>
      <c r="C323" s="71" t="s">
        <v>661</v>
      </c>
      <c r="D323" s="81">
        <v>2900</v>
      </c>
      <c r="E323" s="81">
        <v>2900</v>
      </c>
    </row>
    <row r="324" spans="2:5" ht="15">
      <c r="B324" s="89" t="s">
        <v>662</v>
      </c>
      <c r="C324" s="111" t="s">
        <v>663</v>
      </c>
      <c r="D324" s="81">
        <v>31000</v>
      </c>
      <c r="E324" s="81">
        <v>0</v>
      </c>
    </row>
    <row r="325" spans="2:5" ht="15">
      <c r="B325" s="89" t="s">
        <v>664</v>
      </c>
      <c r="C325" s="71" t="s">
        <v>665</v>
      </c>
      <c r="D325" s="81">
        <v>0</v>
      </c>
      <c r="E325" s="81">
        <v>5990</v>
      </c>
    </row>
    <row r="326" spans="2:5" ht="15">
      <c r="B326" s="89" t="s">
        <v>666</v>
      </c>
      <c r="C326" s="71" t="s">
        <v>667</v>
      </c>
      <c r="D326" s="81">
        <v>0</v>
      </c>
      <c r="E326" s="81">
        <v>26966</v>
      </c>
    </row>
    <row r="327" spans="2:5" ht="15">
      <c r="B327" s="89" t="s">
        <v>668</v>
      </c>
      <c r="C327" s="71" t="s">
        <v>669</v>
      </c>
      <c r="D327" s="81">
        <v>0</v>
      </c>
      <c r="E327" s="81">
        <v>21859</v>
      </c>
    </row>
    <row r="328" spans="2:5" ht="15">
      <c r="B328" s="89" t="s">
        <v>670</v>
      </c>
      <c r="C328" s="71" t="s">
        <v>671</v>
      </c>
      <c r="D328" s="81">
        <v>50000</v>
      </c>
      <c r="E328" s="81">
        <v>50000</v>
      </c>
    </row>
    <row r="329" spans="2:5" ht="15">
      <c r="B329" s="89" t="s">
        <v>672</v>
      </c>
      <c r="C329" s="71" t="s">
        <v>673</v>
      </c>
      <c r="D329" s="81">
        <v>2250</v>
      </c>
      <c r="E329" s="81">
        <v>2250</v>
      </c>
    </row>
    <row r="330" spans="2:5" ht="15">
      <c r="B330" s="89" t="s">
        <v>674</v>
      </c>
      <c r="C330" s="71" t="s">
        <v>675</v>
      </c>
      <c r="D330" s="81">
        <v>0</v>
      </c>
      <c r="E330" s="81">
        <v>56406</v>
      </c>
    </row>
    <row r="331" spans="2:5" ht="15">
      <c r="B331" s="89" t="s">
        <v>676</v>
      </c>
      <c r="C331" s="71" t="s">
        <v>677</v>
      </c>
      <c r="D331" s="81">
        <v>0</v>
      </c>
      <c r="E331" s="81">
        <v>26681</v>
      </c>
    </row>
    <row r="332" spans="2:5" ht="15">
      <c r="B332" s="89" t="s">
        <v>678</v>
      </c>
      <c r="C332" s="71" t="s">
        <v>679</v>
      </c>
      <c r="D332" s="81">
        <v>0</v>
      </c>
      <c r="E332" s="81">
        <v>20403</v>
      </c>
    </row>
    <row r="333" spans="2:5" ht="15">
      <c r="B333" s="89" t="s">
        <v>680</v>
      </c>
      <c r="C333" s="111" t="s">
        <v>681</v>
      </c>
      <c r="D333" s="81">
        <v>13166</v>
      </c>
      <c r="E333" s="81">
        <v>0</v>
      </c>
    </row>
    <row r="334" spans="2:5" ht="15">
      <c r="B334" s="89" t="s">
        <v>682</v>
      </c>
      <c r="C334" s="71" t="s">
        <v>683</v>
      </c>
      <c r="D334" s="81">
        <v>0</v>
      </c>
      <c r="E334" s="81">
        <v>10000</v>
      </c>
    </row>
    <row r="335" spans="2:8" ht="15">
      <c r="B335" s="89" t="s">
        <v>684</v>
      </c>
      <c r="C335" s="71" t="s">
        <v>685</v>
      </c>
      <c r="D335" s="81">
        <v>0</v>
      </c>
      <c r="E335" s="81">
        <v>925</v>
      </c>
      <c r="G335" s="112"/>
      <c r="H335" s="112"/>
    </row>
    <row r="336" spans="2:8" ht="15">
      <c r="B336" s="89" t="s">
        <v>686</v>
      </c>
      <c r="C336" s="71" t="s">
        <v>687</v>
      </c>
      <c r="D336" s="81">
        <v>3510</v>
      </c>
      <c r="E336" s="81">
        <v>3510</v>
      </c>
      <c r="G336" s="505"/>
      <c r="H336" s="505"/>
    </row>
    <row r="337" spans="2:5" ht="15">
      <c r="B337" s="89" t="s">
        <v>688</v>
      </c>
      <c r="C337" s="71" t="s">
        <v>689</v>
      </c>
      <c r="D337" s="81">
        <v>0</v>
      </c>
      <c r="E337" s="81">
        <v>2250</v>
      </c>
    </row>
    <row r="338" spans="2:5" ht="15">
      <c r="B338" s="89" t="s">
        <v>690</v>
      </c>
      <c r="C338" s="71" t="s">
        <v>691</v>
      </c>
      <c r="D338" s="81">
        <v>0</v>
      </c>
      <c r="E338" s="81">
        <v>37123</v>
      </c>
    </row>
    <row r="339" spans="2:5" ht="15">
      <c r="B339" s="89" t="s">
        <v>692</v>
      </c>
      <c r="C339" s="71" t="s">
        <v>693</v>
      </c>
      <c r="D339" s="81">
        <v>12200</v>
      </c>
      <c r="E339" s="81">
        <v>12200</v>
      </c>
    </row>
    <row r="340" spans="2:5" ht="15">
      <c r="B340" s="89" t="s">
        <v>694</v>
      </c>
      <c r="C340" s="71" t="s">
        <v>695</v>
      </c>
      <c r="D340" s="81">
        <v>0</v>
      </c>
      <c r="E340" s="81">
        <v>52567</v>
      </c>
    </row>
    <row r="341" spans="2:5" ht="15">
      <c r="B341" s="89" t="s">
        <v>696</v>
      </c>
      <c r="C341" s="71" t="s">
        <v>697</v>
      </c>
      <c r="D341" s="81">
        <v>15000</v>
      </c>
      <c r="E341" s="81">
        <v>30000</v>
      </c>
    </row>
    <row r="342" spans="2:5" ht="15">
      <c r="B342" s="89" t="s">
        <v>698</v>
      </c>
      <c r="C342" s="71" t="s">
        <v>699</v>
      </c>
      <c r="D342" s="81">
        <v>0</v>
      </c>
      <c r="E342" s="81">
        <v>24333</v>
      </c>
    </row>
    <row r="343" spans="2:5" ht="15">
      <c r="B343" s="89" t="s">
        <v>700</v>
      </c>
      <c r="C343" s="71" t="s">
        <v>701</v>
      </c>
      <c r="D343" s="81">
        <v>0</v>
      </c>
      <c r="E343" s="81">
        <v>17170</v>
      </c>
    </row>
    <row r="344" spans="2:5" ht="15">
      <c r="B344" s="89" t="s">
        <v>702</v>
      </c>
      <c r="C344" s="71" t="s">
        <v>703</v>
      </c>
      <c r="D344" s="81">
        <v>2256</v>
      </c>
      <c r="E344" s="81">
        <v>2256</v>
      </c>
    </row>
    <row r="345" spans="2:5" ht="15">
      <c r="B345" s="89" t="s">
        <v>704</v>
      </c>
      <c r="C345" s="111" t="s">
        <v>705</v>
      </c>
      <c r="D345" s="81">
        <v>2901</v>
      </c>
      <c r="E345" s="81">
        <v>0</v>
      </c>
    </row>
    <row r="346" spans="2:5" ht="15">
      <c r="B346" s="89" t="s">
        <v>706</v>
      </c>
      <c r="C346" s="71" t="s">
        <v>707</v>
      </c>
      <c r="D346" s="81">
        <v>0</v>
      </c>
      <c r="E346" s="81">
        <v>2.5</v>
      </c>
    </row>
    <row r="347" spans="2:5" ht="15">
      <c r="B347" s="89" t="s">
        <v>708</v>
      </c>
      <c r="C347" s="71" t="s">
        <v>709</v>
      </c>
      <c r="D347" s="81">
        <v>0</v>
      </c>
      <c r="E347" s="81">
        <v>5151</v>
      </c>
    </row>
    <row r="348" spans="2:5" ht="15">
      <c r="B348" s="89" t="s">
        <v>710</v>
      </c>
      <c r="C348" s="71" t="s">
        <v>711</v>
      </c>
      <c r="D348" s="81">
        <v>46134.6</v>
      </c>
      <c r="E348" s="81">
        <v>55084</v>
      </c>
    </row>
    <row r="349" spans="2:5" ht="15">
      <c r="B349" s="89" t="s">
        <v>712</v>
      </c>
      <c r="C349" s="111" t="s">
        <v>713</v>
      </c>
      <c r="D349" s="81">
        <v>1800</v>
      </c>
      <c r="E349" s="81">
        <v>0</v>
      </c>
    </row>
    <row r="350" spans="2:5" ht="15">
      <c r="B350" s="89" t="s">
        <v>714</v>
      </c>
      <c r="C350" s="71" t="s">
        <v>715</v>
      </c>
      <c r="D350" s="81">
        <v>0</v>
      </c>
      <c r="E350" s="81">
        <v>0.51</v>
      </c>
    </row>
    <row r="351" spans="2:5" ht="15">
      <c r="B351" s="89" t="s">
        <v>716</v>
      </c>
      <c r="C351" s="71" t="s">
        <v>717</v>
      </c>
      <c r="D351" s="81">
        <v>24342.7</v>
      </c>
      <c r="E351" s="81">
        <v>24342.7</v>
      </c>
    </row>
    <row r="352" spans="2:5" ht="15">
      <c r="B352" s="89" t="s">
        <v>718</v>
      </c>
      <c r="C352" s="71" t="s">
        <v>719</v>
      </c>
      <c r="D352" s="81">
        <v>2143.78</v>
      </c>
      <c r="E352" s="81">
        <v>4344.55</v>
      </c>
    </row>
    <row r="353" spans="2:7" ht="15">
      <c r="B353" s="89" t="s">
        <v>720</v>
      </c>
      <c r="C353" s="71" t="s">
        <v>721</v>
      </c>
      <c r="D353" s="81">
        <v>0</v>
      </c>
      <c r="E353" s="81">
        <v>13088</v>
      </c>
      <c r="G353" s="89"/>
    </row>
    <row r="354" spans="2:5" ht="15">
      <c r="B354" s="89" t="s">
        <v>722</v>
      </c>
      <c r="C354" s="71" t="s">
        <v>723</v>
      </c>
      <c r="D354" s="81">
        <v>20591.68</v>
      </c>
      <c r="E354" s="81">
        <v>20591.68</v>
      </c>
    </row>
    <row r="355" spans="2:5" ht="15">
      <c r="B355" s="89" t="s">
        <v>724</v>
      </c>
      <c r="C355" s="71" t="s">
        <v>725</v>
      </c>
      <c r="D355" s="81">
        <v>0</v>
      </c>
      <c r="E355" s="81">
        <v>164</v>
      </c>
    </row>
    <row r="356" spans="2:5" ht="15">
      <c r="B356" s="89" t="s">
        <v>726</v>
      </c>
      <c r="C356" s="71" t="s">
        <v>727</v>
      </c>
      <c r="D356" s="81">
        <v>0</v>
      </c>
      <c r="E356" s="81">
        <v>2920</v>
      </c>
    </row>
    <row r="357" spans="4:7" ht="15.75" thickBot="1">
      <c r="D357" s="90">
        <f>SUM(D291:D356)</f>
        <v>12135995.509999998</v>
      </c>
      <c r="E357" s="90">
        <f>SUM(E291:E356)</f>
        <v>7632243.279999999</v>
      </c>
      <c r="F357" s="162"/>
      <c r="G357" s="81">
        <f>113590356.88-99397347.6-6501352-59414</f>
        <v>7632243.280000001</v>
      </c>
    </row>
    <row r="358" spans="2:5" ht="15.75" thickTop="1">
      <c r="B358" s="114"/>
      <c r="D358" s="110"/>
      <c r="E358" s="110"/>
    </row>
    <row r="359" ht="15">
      <c r="F359" s="166">
        <f>+G357-E357</f>
        <v>0</v>
      </c>
    </row>
    <row r="360" spans="2:4" ht="15">
      <c r="B360" s="78" t="s">
        <v>742</v>
      </c>
      <c r="C360" s="79" t="s">
        <v>743</v>
      </c>
      <c r="D360" s="101"/>
    </row>
    <row r="361" spans="2:5" ht="15">
      <c r="B361" s="89">
        <v>12036001</v>
      </c>
      <c r="C361" s="71" t="s">
        <v>744</v>
      </c>
      <c r="D361" s="103">
        <v>1460835</v>
      </c>
      <c r="E361" s="178">
        <v>1421212.17</v>
      </c>
    </row>
    <row r="362" spans="2:5" ht="15">
      <c r="B362" s="89">
        <v>12036006</v>
      </c>
      <c r="C362" s="71" t="s">
        <v>745</v>
      </c>
      <c r="D362" s="103">
        <v>14580</v>
      </c>
      <c r="E362" s="178">
        <v>14580</v>
      </c>
    </row>
    <row r="363" spans="2:5" ht="15">
      <c r="B363" s="89">
        <v>12036007</v>
      </c>
      <c r="C363" s="71" t="s">
        <v>746</v>
      </c>
      <c r="D363" s="103">
        <v>3171.7</v>
      </c>
      <c r="E363" s="178">
        <v>3171.7</v>
      </c>
    </row>
    <row r="364" spans="2:5" ht="15">
      <c r="B364" s="89">
        <v>12036008</v>
      </c>
      <c r="C364" s="71" t="s">
        <v>747</v>
      </c>
      <c r="D364" s="103">
        <v>292</v>
      </c>
      <c r="E364" s="178">
        <v>292</v>
      </c>
    </row>
    <row r="365" spans="2:5" ht="15">
      <c r="B365" s="89">
        <v>12041001</v>
      </c>
      <c r="C365" s="71" t="s">
        <v>750</v>
      </c>
      <c r="D365" s="103">
        <v>30777.86</v>
      </c>
      <c r="E365" s="178">
        <v>30777.86</v>
      </c>
    </row>
    <row r="366" spans="2:5" ht="15">
      <c r="B366" s="89">
        <v>12041002</v>
      </c>
      <c r="C366" s="71" t="s">
        <v>751</v>
      </c>
      <c r="D366" s="103">
        <v>2216228.92</v>
      </c>
      <c r="E366" s="178">
        <v>2645627.84</v>
      </c>
    </row>
    <row r="367" spans="2:5" ht="15">
      <c r="B367" s="89">
        <v>12041003</v>
      </c>
      <c r="C367" s="71" t="s">
        <v>752</v>
      </c>
      <c r="D367" s="81">
        <v>24501.82</v>
      </c>
      <c r="E367" s="178">
        <v>24501.82</v>
      </c>
    </row>
    <row r="368" spans="2:5" ht="15">
      <c r="B368" s="89">
        <v>12041041</v>
      </c>
      <c r="C368" s="71" t="s">
        <v>766</v>
      </c>
      <c r="D368" s="81">
        <v>96427</v>
      </c>
      <c r="E368" s="178">
        <v>7793</v>
      </c>
    </row>
    <row r="369" spans="2:5" ht="15">
      <c r="B369" s="89">
        <v>12041050</v>
      </c>
      <c r="C369" s="71" t="s">
        <v>767</v>
      </c>
      <c r="D369" s="81">
        <v>7500</v>
      </c>
      <c r="E369" s="178">
        <v>7500</v>
      </c>
    </row>
    <row r="370" spans="2:5" ht="15">
      <c r="B370" s="89">
        <v>12041053</v>
      </c>
      <c r="C370" s="71" t="s">
        <v>768</v>
      </c>
      <c r="D370" s="81">
        <v>25000</v>
      </c>
      <c r="E370" s="178">
        <v>25000</v>
      </c>
    </row>
    <row r="371" spans="2:5" ht="15">
      <c r="B371" s="89">
        <v>12036013</v>
      </c>
      <c r="C371" s="71" t="s">
        <v>748</v>
      </c>
      <c r="D371" s="103">
        <v>0</v>
      </c>
      <c r="E371" s="178">
        <v>2284.75</v>
      </c>
    </row>
    <row r="372" spans="4:5" ht="15.75" thickBot="1">
      <c r="D372" s="90">
        <f>SUM(D361:D371)</f>
        <v>3879314.3</v>
      </c>
      <c r="E372" s="90">
        <f>SUM(E361:E371)</f>
        <v>4182741.1399999997</v>
      </c>
    </row>
    <row r="373" ht="15.75" thickTop="1"/>
    <row r="374" spans="2:4" ht="15">
      <c r="B374" s="78" t="s">
        <v>773</v>
      </c>
      <c r="C374" s="79" t="s">
        <v>774</v>
      </c>
      <c r="D374" s="80"/>
    </row>
    <row r="375" spans="2:5" ht="15">
      <c r="B375" s="89">
        <v>12046003</v>
      </c>
      <c r="C375" s="71" t="s">
        <v>775</v>
      </c>
      <c r="D375" s="81">
        <f>1435317-193916</f>
        <v>1241401</v>
      </c>
      <c r="E375" s="81">
        <v>1822457</v>
      </c>
    </row>
    <row r="376" spans="4:5" ht="15.75" thickBot="1">
      <c r="D376" s="90">
        <f>SUM(D375:D375)</f>
        <v>1241401</v>
      </c>
      <c r="E376" s="90">
        <f>SUM(E375:E375)</f>
        <v>1822457</v>
      </c>
    </row>
    <row r="377" ht="15.75" thickTop="1"/>
    <row r="378" spans="2:4" ht="15.75">
      <c r="B378" s="76">
        <v>11</v>
      </c>
      <c r="C378" s="77" t="s">
        <v>563</v>
      </c>
      <c r="D378" s="91"/>
    </row>
    <row r="379" spans="2:4" ht="15">
      <c r="B379" s="78" t="s">
        <v>564</v>
      </c>
      <c r="C379" s="79" t="s">
        <v>565</v>
      </c>
      <c r="D379" s="80"/>
    </row>
    <row r="380" spans="2:5" ht="15.75" thickBot="1">
      <c r="B380" s="89">
        <v>11001001</v>
      </c>
      <c r="C380" s="71" t="s">
        <v>565</v>
      </c>
      <c r="D380" s="90">
        <v>480437</v>
      </c>
      <c r="E380" s="90">
        <v>581399</v>
      </c>
    </row>
    <row r="381" spans="3:5" ht="15.75" thickTop="1">
      <c r="C381" s="107"/>
      <c r="E381" s="110"/>
    </row>
    <row r="382" spans="2:3" ht="15">
      <c r="B382" s="78" t="s">
        <v>566</v>
      </c>
      <c r="C382" s="79" t="s">
        <v>567</v>
      </c>
    </row>
    <row r="383" spans="2:5" ht="15.75" thickBot="1">
      <c r="B383" s="89">
        <v>11006005</v>
      </c>
      <c r="C383" s="71" t="s">
        <v>568</v>
      </c>
      <c r="D383" s="90">
        <v>0</v>
      </c>
      <c r="E383" s="90">
        <v>1495860</v>
      </c>
    </row>
    <row r="384" ht="15.75" thickTop="1"/>
  </sheetData>
  <sheetProtection/>
  <mergeCells count="5">
    <mergeCell ref="D4:E4"/>
    <mergeCell ref="G336:H336"/>
    <mergeCell ref="G271:H273"/>
    <mergeCell ref="B1:H1"/>
    <mergeCell ref="B289:C289"/>
  </mergeCells>
  <printOptions/>
  <pageMargins left="0.62" right="0.33" top="0.35" bottom="0.38" header="0.31496062992125984" footer="0.31496062992125984"/>
  <pageSetup horizontalDpi="300" verticalDpi="300" orientation="landscape" paperSize="9" scale="76" r:id="rId1"/>
  <rowBreaks count="5" manualBreakCount="5">
    <brk id="46" min="1" max="7" man="1"/>
    <brk id="91" min="1" max="7" man="1"/>
    <brk id="139" min="1" max="7" man="1"/>
    <brk id="169" min="1" max="7" man="1"/>
    <brk id="25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mvjeganathan</dc:creator>
  <cp:keywords/>
  <dc:description/>
  <cp:lastModifiedBy>SRMC</cp:lastModifiedBy>
  <cp:lastPrinted>2015-09-01T10:23:51Z</cp:lastPrinted>
  <dcterms:created xsi:type="dcterms:W3CDTF">2012-06-05T09:51:11Z</dcterms:created>
  <dcterms:modified xsi:type="dcterms:W3CDTF">2015-09-01T10:24:44Z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false</vt:lpwstr>
  </property>
</Properties>
</file>